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5445" tabRatio="1000" activeTab="0"/>
  </bookViews>
  <sheets>
    <sheet name="struktura stroškov" sheetId="1" r:id="rId1"/>
    <sheet name="OBČINA +20%,10%,15%" sheetId="2" r:id="rId2"/>
    <sheet name="obr zahtevek" sheetId="3" r:id="rId3"/>
    <sheet name="plan 2013" sheetId="4" r:id="rId4"/>
  </sheets>
  <externalReferences>
    <externalReference r:id="rId7"/>
    <externalReference r:id="rId8"/>
  </externalReferences>
  <definedNames>
    <definedName name="člače1">'[1]pomožno'!$G$2:$G$5</definedName>
    <definedName name="dvojezičnost">'[2]pomožno'!$G$2:$G$5</definedName>
    <definedName name="naziv">'[2]pomožno'!#REF!</definedName>
    <definedName name="_xlnm.Print_Area" localSheetId="1">'OBČINA +20%,10%,15%'!$A$1:$H$54</definedName>
    <definedName name="_xlnm.Print_Area" localSheetId="3">'plan 2013'!$A$1:$E$12</definedName>
    <definedName name="računov">'[1]pomožno'!$A$2:$A$10</definedName>
    <definedName name="SMD">'[2]pomožno'!$I$2:$I$4</definedName>
    <definedName name="šifra_naziva">'[2]pomožno'!$B$2:$B$5</definedName>
    <definedName name="TS_izobrazba">'[2]pomožno'!#REF!</definedName>
    <definedName name="TS_novo_DM">'[2]pomožno'!$A$2:$A$10</definedName>
    <definedName name="TS_staro_DM">'[2]pomožno'!#REF!</definedName>
    <definedName name="TSizobrazba">'[2]pomožno'!#REF!</definedName>
  </definedNames>
  <calcPr fullCalcOnLoad="1"/>
</workbook>
</file>

<file path=xl/sharedStrings.xml><?xml version="1.0" encoding="utf-8"?>
<sst xmlns="http://schemas.openxmlformats.org/spreadsheetml/2006/main" count="300" uniqueCount="126">
  <si>
    <t>- dodatek na delovno dobo</t>
  </si>
  <si>
    <t>prispevki delodajalca za socialno varnost</t>
  </si>
  <si>
    <t>davek na plačo</t>
  </si>
  <si>
    <t>drugi stroški dela</t>
  </si>
  <si>
    <t>- regres za letni dopust</t>
  </si>
  <si>
    <t>- povračilo stroškov prehrane med delom</t>
  </si>
  <si>
    <t>- povračilo stroškov prevoza na delo in z dela</t>
  </si>
  <si>
    <t>Datum:</t>
  </si>
  <si>
    <t>Izvajalec:</t>
  </si>
  <si>
    <t>Povprečni mesečni stroški v EUR</t>
  </si>
  <si>
    <t>a)</t>
  </si>
  <si>
    <t>c)</t>
  </si>
  <si>
    <t>b)</t>
  </si>
  <si>
    <t>d)</t>
  </si>
  <si>
    <t>e)</t>
  </si>
  <si>
    <t>f)</t>
  </si>
  <si>
    <t>STROŠKI AMORTIZACIJE</t>
  </si>
  <si>
    <t>STROŠKI INVESTICIJSKEGA VZDRŽEVANJA</t>
  </si>
  <si>
    <t>STROŠKI FINANSIRANJA</t>
  </si>
  <si>
    <t>skupaj</t>
  </si>
  <si>
    <t>SKUPAJ</t>
  </si>
  <si>
    <t>NSO</t>
  </si>
  <si>
    <t>priloga 2/1</t>
  </si>
  <si>
    <t>CENTER ZA SOCIALNO DELO ZAGORJE OB SAVI</t>
  </si>
  <si>
    <t xml:space="preserve">stroški vodenja </t>
  </si>
  <si>
    <t>stroški dela</t>
  </si>
  <si>
    <t>OBRAZEC ZA PREDLOG CENE STORITVE POMOČ NA DOMU</t>
  </si>
  <si>
    <t>število zaposlenih:</t>
  </si>
  <si>
    <t>za vodenje</t>
  </si>
  <si>
    <t>za neposredno socialno oskrbo uporabnikov</t>
  </si>
  <si>
    <t>število efektivnih ur na enega oskrbovalca na mesec</t>
  </si>
  <si>
    <t>Cena storitve (6=5/sk.št..efek.ur)</t>
  </si>
  <si>
    <t>Stroški za neposredno socialno oskrbo ( c+d+e)</t>
  </si>
  <si>
    <t>stroški materiala in storitev, amortizacija, inv. vzdrževanje</t>
  </si>
  <si>
    <t>skupaj (a+b)</t>
  </si>
  <si>
    <t>skupno število efektivnih ur na mesec (3*4)</t>
  </si>
  <si>
    <t>- uspešnost</t>
  </si>
  <si>
    <t>a</t>
  </si>
  <si>
    <t>b</t>
  </si>
  <si>
    <t>c</t>
  </si>
  <si>
    <t>d</t>
  </si>
  <si>
    <t>e</t>
  </si>
  <si>
    <t>stroški pisarniškega materiala</t>
  </si>
  <si>
    <t>f</t>
  </si>
  <si>
    <t>Struktura stroškov vodenja na mesec:</t>
  </si>
  <si>
    <t>premije KDPZ  (izvajalci v okvuru mreže javne službe)</t>
  </si>
  <si>
    <t>stroški izobraževanja</t>
  </si>
  <si>
    <t>g</t>
  </si>
  <si>
    <t>OBVEZNE PRILOGE: k točki 3 in 4 -izračun amortizacije in stroškov investicijskega vzdrževanja</t>
  </si>
  <si>
    <r>
      <t xml:space="preserve">Subvencija iz proračuna </t>
    </r>
    <r>
      <rPr>
        <b/>
        <sz val="9"/>
        <rFont val="Times New Roman"/>
        <family val="1"/>
      </rPr>
      <t>občine</t>
    </r>
    <r>
      <rPr>
        <sz val="9"/>
        <rFont val="Times New Roman"/>
        <family val="1"/>
      </rPr>
      <t xml:space="preserve"> v EUR  na mesec</t>
    </r>
  </si>
  <si>
    <r>
      <t>Subvencija iz proračuna</t>
    </r>
    <r>
      <rPr>
        <b/>
        <sz val="9"/>
        <rFont val="Times New Roman"/>
        <family val="1"/>
      </rPr>
      <t xml:space="preserve"> RS</t>
    </r>
    <r>
      <rPr>
        <sz val="9"/>
        <rFont val="Times New Roman"/>
        <family val="1"/>
      </rPr>
      <t xml:space="preserve"> v EUR  na mesec</t>
    </r>
  </si>
  <si>
    <t>stroški za prevozne storitve</t>
  </si>
  <si>
    <t>stroški zaščitnih sredstev</t>
  </si>
  <si>
    <t>stroški zdravstvenih pregledov</t>
  </si>
  <si>
    <t>stroški za zavarovalne premije za zavarovanje za splošno odgovornost iz dejavnosti</t>
  </si>
  <si>
    <t>drugi stroški materiala in storitev</t>
  </si>
  <si>
    <t>0,5/100 upor.+ 0,5/20 oskrbovalk</t>
  </si>
  <si>
    <t xml:space="preserve">skupaj </t>
  </si>
  <si>
    <t xml:space="preserve">vodenje in koordinacija </t>
  </si>
  <si>
    <t>plačila uporabnikov</t>
  </si>
  <si>
    <t>na enoto</t>
  </si>
  <si>
    <t>stroški  po pogodbi</t>
  </si>
  <si>
    <t>3a</t>
  </si>
  <si>
    <t>mesečno</t>
  </si>
  <si>
    <t xml:space="preserve">1. </t>
  </si>
  <si>
    <t>NEPOSREDNA SOCIALNA OSKRBA</t>
  </si>
  <si>
    <t>1.Struktura stroškov za neposredno socialno oskrbo uporabnikov na mesec:</t>
  </si>
  <si>
    <t>STROŠKI DELA ( a+b)</t>
  </si>
  <si>
    <t>vrednost količnika</t>
  </si>
  <si>
    <t>- količnik za IV. tarifno skupino</t>
  </si>
  <si>
    <t>- dodatek z KP za negospodarstvo</t>
  </si>
  <si>
    <t>- dodatek po KP po 76. členu</t>
  </si>
  <si>
    <t>- dodatek po KP po 78. členu</t>
  </si>
  <si>
    <t>- dodatek po KP po 89 b. členu</t>
  </si>
  <si>
    <t>- dodatek po KP po 89. c členu</t>
  </si>
  <si>
    <t>- korekcijski dodatek</t>
  </si>
  <si>
    <t>vsota količnik</t>
  </si>
  <si>
    <t>plače ((vsota količnikov * vrednost količnika)</t>
  </si>
  <si>
    <t>plače</t>
  </si>
  <si>
    <t xml:space="preserve"> jubilejna nagrada</t>
  </si>
  <si>
    <t xml:space="preserve">STROŠKI MATERIALA IN STORITEV </t>
  </si>
  <si>
    <t>2. VODENJE IN KOORDINACIJA</t>
  </si>
  <si>
    <t xml:space="preserve">vrednost količnika- povpr. 55837 </t>
  </si>
  <si>
    <t>- količnik VII. tarifno skupino</t>
  </si>
  <si>
    <t>- dodatek po KP po 73. členu- 88.a</t>
  </si>
  <si>
    <r>
      <t xml:space="preserve">                                      </t>
    </r>
    <r>
      <rPr>
        <sz val="9"/>
        <rFont val="Times New Roman"/>
        <family val="1"/>
      </rPr>
      <t xml:space="preserve"> k točki 5 -izračun finansiranja s poročilom revizijske družbe</t>
    </r>
  </si>
  <si>
    <t>število efektivnih ur</t>
  </si>
  <si>
    <t xml:space="preserve">premije KDPZ  </t>
  </si>
  <si>
    <t>letno</t>
  </si>
  <si>
    <t>cena efektivne ure v EUR na enoto</t>
  </si>
  <si>
    <r>
      <t>10%</t>
    </r>
    <r>
      <rPr>
        <sz val="9"/>
        <rFont val="Times New Roman"/>
        <family val="1"/>
      </rPr>
      <t xml:space="preserve"> dodatna subvencija občine v EUR na mesec</t>
    </r>
  </si>
  <si>
    <r>
      <t xml:space="preserve">varianta </t>
    </r>
    <r>
      <rPr>
        <b/>
        <sz val="20"/>
        <rFont val="Times New Roman"/>
        <family val="1"/>
      </rPr>
      <t>B</t>
    </r>
  </si>
  <si>
    <r>
      <t xml:space="preserve">15% </t>
    </r>
    <r>
      <rPr>
        <sz val="9"/>
        <rFont val="Times New Roman"/>
        <family val="1"/>
      </rPr>
      <t>dodatna subvencija občine v EUR na mesec</t>
    </r>
  </si>
  <si>
    <r>
      <t xml:space="preserve">varianta </t>
    </r>
    <r>
      <rPr>
        <b/>
        <sz val="20"/>
        <rFont val="Times New Roman"/>
        <family val="1"/>
      </rPr>
      <t>C</t>
    </r>
  </si>
  <si>
    <r>
      <t>20%</t>
    </r>
    <r>
      <rPr>
        <sz val="9"/>
        <rFont val="Times New Roman"/>
        <family val="1"/>
      </rPr>
      <t xml:space="preserve"> dodatna subvencija občine v EUR na mesec</t>
    </r>
  </si>
  <si>
    <t>Razlika v EUR na mesec     (5=2-3-4)</t>
  </si>
  <si>
    <t>0,005*67+0,025*10,5</t>
  </si>
  <si>
    <t>skupaj na URO (a+b/skup. število efektivnih ur)</t>
  </si>
  <si>
    <t>za vodenje 0,5/100 upor.+ 0,5/20 oskrbovalk</t>
  </si>
  <si>
    <t>Stroški za neposredno socialno oskrbo          ( c+d+e)</t>
  </si>
  <si>
    <t xml:space="preserve"> PREDLOG ZA DODATNO SUBVENCIJO OBČINE</t>
  </si>
  <si>
    <t>4a</t>
  </si>
  <si>
    <t>Razlika v EUR na mesec     (5=2-3-4-4a)</t>
  </si>
  <si>
    <t>Stroški za neposredno socialno oskrbo             ( c+d+e)</t>
  </si>
  <si>
    <t xml:space="preserve">stroški vodenja in 50% NSO </t>
  </si>
  <si>
    <t>skupaj za plačilo v EUR</t>
  </si>
  <si>
    <t>cena na efektivno uro</t>
  </si>
  <si>
    <t>znesek za plačilo/ 1260 ur</t>
  </si>
  <si>
    <t>občina skupaj</t>
  </si>
  <si>
    <t>50% subvencija NSO</t>
  </si>
  <si>
    <t>mesečno /0,6 izv</t>
  </si>
  <si>
    <t xml:space="preserve">Povprečni mesečni stroški </t>
  </si>
  <si>
    <t>STR.BLAGA, MATER. IN STORITEV</t>
  </si>
  <si>
    <t>20% dodatna subvencija</t>
  </si>
  <si>
    <t>korekcija plač ter prispevkov in davkov na plače 3,83 %</t>
  </si>
  <si>
    <t>doplačila uporabnikov</t>
  </si>
  <si>
    <t>dodatna  subvencija 20 %</t>
  </si>
  <si>
    <t>VKO</t>
  </si>
  <si>
    <t>deljen delavni čas</t>
  </si>
  <si>
    <t>subvencija občine</t>
  </si>
  <si>
    <t>POKRIVANJE LANSKE IZGUBE</t>
  </si>
  <si>
    <t>SKUPAJ  1+2+3+4+5+6</t>
  </si>
  <si>
    <t>mesečno /10,50 izv</t>
  </si>
  <si>
    <t>ZA CELO LETO</t>
  </si>
  <si>
    <r>
      <t>15%</t>
    </r>
    <r>
      <rPr>
        <sz val="9"/>
        <rFont val="Times New Roman"/>
        <family val="1"/>
      </rPr>
      <t xml:space="preserve"> dodatna subvencija občine v EUR na mesec</t>
    </r>
  </si>
  <si>
    <t>izračun s 100 % subvencijo stroškov vodenja in 50 % subvencijo neposredne socialne oskrbe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</si>
</sst>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_-* #,##0.000\ _S_I_T_-;\-* #,##0.000\ _S_I_T_-;_-* &quot;-&quot;??\ _S_I_T_-;_-@_-"/>
    <numFmt numFmtId="190" formatCode="#,##0.0000"/>
    <numFmt numFmtId="191" formatCode="0.0000"/>
    <numFmt numFmtId="192" formatCode="0.000"/>
    <numFmt numFmtId="193" formatCode="_-* #,##0.0\ _S_I_T_-;\-* #,##0.0\ _S_I_T_-;_-* &quot;-&quot;??\ _S_I_T_-;_-@_-"/>
    <numFmt numFmtId="194" formatCode="_-* #,##0\ _S_I_T_-;\-* #,##0\ _S_I_T_-;_-* &quot;-&quot;??\ _S_I_T_-;_-@_-"/>
    <numFmt numFmtId="195" formatCode="#,##0.000_ ;\-#,##0.000\ "/>
    <numFmt numFmtId="196" formatCode="0.000000"/>
    <numFmt numFmtId="197" formatCode="0.00000"/>
    <numFmt numFmtId="198" formatCode="0.0"/>
    <numFmt numFmtId="199" formatCode="0.0000000"/>
    <numFmt numFmtId="200" formatCode="#,##0.0_ ;\-#,##0.0\ "/>
    <numFmt numFmtId="201" formatCode="0.0000000000"/>
    <numFmt numFmtId="202" formatCode="0.00000000000"/>
    <numFmt numFmtId="203" formatCode="0.000000000000"/>
    <numFmt numFmtId="204" formatCode="0.000000000"/>
    <numFmt numFmtId="205" formatCode="0.00000000"/>
    <numFmt numFmtId="206" formatCode="#,##0_ ;\-#,##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\ ?/2"/>
    <numFmt numFmtId="213" formatCode="#\ ??/16"/>
    <numFmt numFmtId="214" formatCode="#,##0.0000_ ;\-#,##0.0000\ "/>
    <numFmt numFmtId="215" formatCode="#,##0.00000_ ;\-#,##0.00000\ "/>
    <numFmt numFmtId="216" formatCode="#,##0.00\ &quot;€&quot;"/>
    <numFmt numFmtId="217" formatCode="0.00_ ;[Red]\-0.00\ "/>
  </numFmts>
  <fonts count="55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0"/>
    </font>
    <font>
      <b/>
      <sz val="2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30" fillId="9" borderId="0" applyNumberFormat="0" applyBorder="0" applyAlignment="0" applyProtection="0"/>
    <xf numFmtId="0" fontId="29" fillId="38" borderId="1" applyNumberFormat="0" applyAlignment="0" applyProtection="0"/>
    <xf numFmtId="0" fontId="28" fillId="39" borderId="2" applyNumberFormat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13" borderId="1" applyNumberFormat="0" applyAlignment="0" applyProtection="0"/>
    <xf numFmtId="0" fontId="41" fillId="41" borderId="6" applyNumberFormat="0" applyAlignment="0" applyProtection="0"/>
    <xf numFmtId="0" fontId="27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24" fillId="42" borderId="0" applyNumberFormat="0" applyBorder="0" applyAlignment="0" applyProtection="0"/>
    <xf numFmtId="0" fontId="46" fillId="4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1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47" fillId="0" borderId="0" applyNumberFormat="0" applyFill="0" applyBorder="0" applyAlignment="0" applyProtection="0"/>
    <xf numFmtId="0" fontId="19" fillId="3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9" fillId="0" borderId="14" applyNumberFormat="0" applyFill="0" applyAlignment="0" applyProtection="0"/>
    <xf numFmtId="0" fontId="50" fillId="52" borderId="15" applyNumberFormat="0" applyAlignment="0" applyProtection="0"/>
    <xf numFmtId="0" fontId="51" fillId="41" borderId="16" applyNumberFormat="0" applyAlignment="0" applyProtection="0"/>
    <xf numFmtId="0" fontId="52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54" borderId="16" applyNumberFormat="0" applyAlignment="0" applyProtection="0"/>
    <xf numFmtId="0" fontId="5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9" xfId="81" applyFont="1" applyBorder="1">
      <alignment/>
      <protection/>
    </xf>
    <xf numFmtId="0" fontId="3" fillId="0" borderId="19" xfId="81" applyFont="1" applyBorder="1">
      <alignment/>
      <protection/>
    </xf>
    <xf numFmtId="188" fontId="3" fillId="0" borderId="19" xfId="81" applyNumberFormat="1" applyFont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0" xfId="81" applyFont="1">
      <alignment/>
      <protection/>
    </xf>
    <xf numFmtId="0" fontId="4" fillId="0" borderId="19" xfId="81" applyFont="1" applyBorder="1">
      <alignment/>
      <protection/>
    </xf>
    <xf numFmtId="0" fontId="3" fillId="0" borderId="0" xfId="81" applyFont="1" applyBorder="1">
      <alignment/>
      <protection/>
    </xf>
    <xf numFmtId="0" fontId="4" fillId="0" borderId="0" xfId="81" applyFont="1" applyBorder="1">
      <alignment/>
      <protection/>
    </xf>
    <xf numFmtId="0" fontId="4" fillId="0" borderId="0" xfId="81" applyFont="1">
      <alignment/>
      <protection/>
    </xf>
    <xf numFmtId="188" fontId="4" fillId="0" borderId="0" xfId="81" applyNumberFormat="1" applyFont="1" applyBorder="1">
      <alignment/>
      <protection/>
    </xf>
    <xf numFmtId="0" fontId="4" fillId="0" borderId="20" xfId="81" applyFont="1" applyBorder="1">
      <alignment/>
      <protection/>
    </xf>
    <xf numFmtId="0" fontId="4" fillId="0" borderId="21" xfId="81" applyFont="1" applyBorder="1">
      <alignment/>
      <protection/>
    </xf>
    <xf numFmtId="188" fontId="4" fillId="0" borderId="20" xfId="81" applyNumberFormat="1" applyFont="1" applyBorder="1">
      <alignment/>
      <protection/>
    </xf>
    <xf numFmtId="0" fontId="4" fillId="0" borderId="19" xfId="81" applyFont="1" applyBorder="1" applyAlignment="1">
      <alignment horizontal="center" wrapText="1"/>
      <protection/>
    </xf>
    <xf numFmtId="188" fontId="4" fillId="0" borderId="19" xfId="81" applyNumberFormat="1" applyFont="1" applyBorder="1" applyAlignment="1">
      <alignment horizontal="center" wrapText="1"/>
      <protection/>
    </xf>
    <xf numFmtId="0" fontId="3" fillId="0" borderId="19" xfId="81" applyFont="1" applyBorder="1" applyAlignment="1">
      <alignment horizontal="center"/>
      <protection/>
    </xf>
    <xf numFmtId="0" fontId="3" fillId="0" borderId="19" xfId="81" applyNumberFormat="1" applyFont="1" applyBorder="1" applyAlignment="1">
      <alignment horizontal="center"/>
      <protection/>
    </xf>
    <xf numFmtId="0" fontId="4" fillId="0" borderId="19" xfId="81" applyFont="1" applyBorder="1" applyAlignment="1">
      <alignment wrapText="1"/>
      <protection/>
    </xf>
    <xf numFmtId="188" fontId="4" fillId="0" borderId="19" xfId="81" applyNumberFormat="1" applyFont="1" applyBorder="1">
      <alignment/>
      <protection/>
    </xf>
    <xf numFmtId="188" fontId="4" fillId="0" borderId="19" xfId="81" applyNumberFormat="1" applyFont="1" applyBorder="1" applyAlignment="1">
      <alignment horizontal="center"/>
      <protection/>
    </xf>
    <xf numFmtId="188" fontId="4" fillId="0" borderId="0" xfId="81" applyNumberFormat="1" applyFont="1" applyBorder="1" quotePrefix="1">
      <alignment/>
      <protection/>
    </xf>
    <xf numFmtId="14" fontId="4" fillId="0" borderId="0" xfId="81" applyNumberFormat="1" applyFont="1">
      <alignment/>
      <protection/>
    </xf>
    <xf numFmtId="188" fontId="3" fillId="0" borderId="19" xfId="81" applyNumberFormat="1" applyFont="1" applyBorder="1" quotePrefix="1">
      <alignment/>
      <protection/>
    </xf>
    <xf numFmtId="188" fontId="3" fillId="0" borderId="19" xfId="81" applyNumberFormat="1" applyFont="1" applyBorder="1" applyAlignment="1">
      <alignment horizontal="center"/>
      <protection/>
    </xf>
    <xf numFmtId="188" fontId="3" fillId="0" borderId="20" xfId="81" applyNumberFormat="1" applyFont="1" applyBorder="1" applyAlignment="1">
      <alignment horizontal="right"/>
      <protection/>
    </xf>
    <xf numFmtId="0" fontId="2" fillId="0" borderId="0" xfId="81" applyFont="1" applyBorder="1">
      <alignment/>
      <protection/>
    </xf>
    <xf numFmtId="188" fontId="3" fillId="0" borderId="0" xfId="81" applyNumberFormat="1" applyFont="1" applyBorder="1" quotePrefix="1">
      <alignment/>
      <protection/>
    </xf>
    <xf numFmtId="188" fontId="3" fillId="0" borderId="0" xfId="81" applyNumberFormat="1" applyFont="1" applyBorder="1" applyAlignment="1">
      <alignment horizontal="center"/>
      <protection/>
    </xf>
    <xf numFmtId="188" fontId="3" fillId="0" borderId="0" xfId="81" applyNumberFormat="1" applyFont="1" applyBorder="1" applyAlignment="1">
      <alignment horizontal="center" wrapText="1"/>
      <protection/>
    </xf>
    <xf numFmtId="2" fontId="4" fillId="0" borderId="0" xfId="81" applyNumberFormat="1" applyFont="1" applyBorder="1">
      <alignment/>
      <protection/>
    </xf>
    <xf numFmtId="0" fontId="4" fillId="0" borderId="22" xfId="81" applyFont="1" applyFill="1" applyBorder="1" applyAlignment="1">
      <alignment wrapText="1"/>
      <protection/>
    </xf>
    <xf numFmtId="192" fontId="4" fillId="0" borderId="0" xfId="81" applyNumberFormat="1" applyFont="1" applyBorder="1" quotePrefix="1">
      <alignment/>
      <protection/>
    </xf>
    <xf numFmtId="0" fontId="4" fillId="0" borderId="0" xfId="81" applyFont="1" applyFill="1" applyBorder="1" applyAlignment="1">
      <alignment horizontal="center" wrapText="1"/>
      <protection/>
    </xf>
    <xf numFmtId="188" fontId="4" fillId="0" borderId="0" xfId="81" applyNumberFormat="1" applyFont="1" applyBorder="1" applyAlignment="1">
      <alignment horizontal="right"/>
      <protection/>
    </xf>
    <xf numFmtId="0" fontId="4" fillId="0" borderId="23" xfId="81" applyFont="1" applyBorder="1" applyAlignment="1">
      <alignment wrapText="1"/>
      <protection/>
    </xf>
    <xf numFmtId="0" fontId="3" fillId="0" borderId="24" xfId="81" applyFont="1" applyBorder="1">
      <alignment/>
      <protection/>
    </xf>
    <xf numFmtId="0" fontId="4" fillId="0" borderId="19" xfId="81" applyFont="1" applyFill="1" applyBorder="1" applyAlignment="1">
      <alignment wrapText="1"/>
      <protection/>
    </xf>
    <xf numFmtId="0" fontId="4" fillId="0" borderId="19" xfId="81" applyFont="1" applyFill="1" applyBorder="1" applyAlignment="1">
      <alignment horizontal="center" wrapText="1"/>
      <protection/>
    </xf>
    <xf numFmtId="188" fontId="4" fillId="0" borderId="19" xfId="81" applyNumberFormat="1" applyFont="1" applyBorder="1" applyAlignment="1">
      <alignment horizontal="right"/>
      <protection/>
    </xf>
    <xf numFmtId="188" fontId="3" fillId="0" borderId="19" xfId="81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195" fontId="4" fillId="0" borderId="0" xfId="81" applyNumberFormat="1" applyFont="1" applyBorder="1" quotePrefix="1">
      <alignment/>
      <protection/>
    </xf>
    <xf numFmtId="188" fontId="4" fillId="0" borderId="25" xfId="81" applyNumberFormat="1" applyFont="1" applyBorder="1" applyAlignment="1">
      <alignment horizontal="right"/>
      <protection/>
    </xf>
    <xf numFmtId="0" fontId="4" fillId="0" borderId="19" xfId="0" applyFont="1" applyBorder="1" applyAlignment="1">
      <alignment/>
    </xf>
    <xf numFmtId="171" fontId="4" fillId="0" borderId="19" xfId="112" applyFont="1" applyBorder="1" applyAlignment="1">
      <alignment/>
    </xf>
    <xf numFmtId="0" fontId="8" fillId="0" borderId="19" xfId="81" applyFont="1" applyBorder="1">
      <alignment/>
      <protection/>
    </xf>
    <xf numFmtId="0" fontId="3" fillId="0" borderId="19" xfId="81" applyFont="1" applyBorder="1" applyAlignment="1">
      <alignment wrapText="1"/>
      <protection/>
    </xf>
    <xf numFmtId="188" fontId="3" fillId="0" borderId="19" xfId="81" applyNumberFormat="1" applyFont="1" applyBorder="1">
      <alignment/>
      <protection/>
    </xf>
    <xf numFmtId="188" fontId="3" fillId="0" borderId="19" xfId="81" applyNumberFormat="1" applyFont="1" applyBorder="1" applyAlignment="1">
      <alignment horizontal="center"/>
      <protection/>
    </xf>
    <xf numFmtId="188" fontId="3" fillId="0" borderId="19" xfId="81" applyNumberFormat="1" applyFont="1" applyBorder="1" applyAlignment="1">
      <alignment horizontal="center" wrapText="1"/>
      <protection/>
    </xf>
    <xf numFmtId="0" fontId="9" fillId="0" borderId="19" xfId="81" applyFont="1" applyBorder="1">
      <alignment/>
      <protection/>
    </xf>
    <xf numFmtId="2" fontId="2" fillId="0" borderId="0" xfId="0" applyNumberFormat="1" applyFont="1" applyBorder="1" applyAlignment="1">
      <alignment/>
    </xf>
    <xf numFmtId="206" fontId="3" fillId="0" borderId="0" xfId="81" applyNumberFormat="1" applyFont="1" applyBorder="1">
      <alignment/>
      <protection/>
    </xf>
    <xf numFmtId="0" fontId="11" fillId="0" borderId="0" xfId="0" applyFont="1" applyBorder="1" applyAlignment="1">
      <alignment/>
    </xf>
    <xf numFmtId="0" fontId="0" fillId="0" borderId="0" xfId="85">
      <alignment/>
      <protection/>
    </xf>
    <xf numFmtId="0" fontId="4" fillId="0" borderId="19" xfId="81" applyFont="1" applyBorder="1" applyAlignment="1">
      <alignment horizontal="right"/>
      <protection/>
    </xf>
    <xf numFmtId="0" fontId="3" fillId="0" borderId="21" xfId="81" applyFont="1" applyBorder="1">
      <alignment/>
      <protection/>
    </xf>
    <xf numFmtId="0" fontId="3" fillId="0" borderId="20" xfId="81" applyFont="1" applyBorder="1">
      <alignment/>
      <protection/>
    </xf>
    <xf numFmtId="0" fontId="4" fillId="0" borderId="0" xfId="85" applyFont="1">
      <alignment/>
      <protection/>
    </xf>
    <xf numFmtId="0" fontId="3" fillId="0" borderId="0" xfId="85" applyFont="1">
      <alignment/>
      <protection/>
    </xf>
    <xf numFmtId="0" fontId="3" fillId="0" borderId="0" xfId="81" applyFont="1">
      <alignment/>
      <protection/>
    </xf>
    <xf numFmtId="0" fontId="10" fillId="0" borderId="0" xfId="85" applyFont="1">
      <alignment/>
      <protection/>
    </xf>
    <xf numFmtId="0" fontId="4" fillId="0" borderId="19" xfId="81" applyFont="1" applyBorder="1" quotePrefix="1">
      <alignment/>
      <protection/>
    </xf>
    <xf numFmtId="0" fontId="3" fillId="0" borderId="19" xfId="81" applyFont="1" applyFill="1" applyBorder="1" applyAlignment="1">
      <alignment horizontal="center" wrapText="1"/>
      <protection/>
    </xf>
    <xf numFmtId="0" fontId="3" fillId="0" borderId="19" xfId="81" applyFont="1" applyBorder="1" applyAlignment="1">
      <alignment wrapText="1"/>
      <protection/>
    </xf>
    <xf numFmtId="0" fontId="4" fillId="0" borderId="19" xfId="81" applyFont="1" applyFill="1" applyBorder="1">
      <alignment/>
      <protection/>
    </xf>
    <xf numFmtId="0" fontId="4" fillId="0" borderId="0" xfId="81" applyFont="1" applyFill="1" applyBorder="1">
      <alignment/>
      <protection/>
    </xf>
    <xf numFmtId="194" fontId="3" fillId="0" borderId="0" xfId="61" applyNumberFormat="1" applyFont="1" applyBorder="1" applyAlignment="1">
      <alignment/>
    </xf>
    <xf numFmtId="171" fontId="3" fillId="0" borderId="0" xfId="61" applyNumberFormat="1" applyFont="1" applyBorder="1" applyAlignment="1">
      <alignment/>
    </xf>
    <xf numFmtId="171" fontId="3" fillId="0" borderId="0" xfId="61" applyFont="1" applyAlignment="1">
      <alignment/>
    </xf>
    <xf numFmtId="0" fontId="4" fillId="0" borderId="19" xfId="81" applyFont="1" applyBorder="1" applyAlignment="1">
      <alignment horizontal="left"/>
      <protection/>
    </xf>
    <xf numFmtId="0" fontId="4" fillId="0" borderId="21" xfId="81" applyFont="1" applyFill="1" applyBorder="1" applyAlignment="1">
      <alignment horizontal="center" wrapText="1"/>
      <protection/>
    </xf>
    <xf numFmtId="171" fontId="3" fillId="0" borderId="21" xfId="61" applyFont="1" applyBorder="1" applyAlignment="1">
      <alignment/>
    </xf>
    <xf numFmtId="171" fontId="4" fillId="0" borderId="21" xfId="61" applyFont="1" applyBorder="1" applyAlignment="1">
      <alignment/>
    </xf>
    <xf numFmtId="0" fontId="0" fillId="0" borderId="0" xfId="85" applyBorder="1">
      <alignment/>
      <protection/>
    </xf>
    <xf numFmtId="188" fontId="4" fillId="0" borderId="25" xfId="81" applyNumberFormat="1" applyFont="1" applyBorder="1">
      <alignment/>
      <protection/>
    </xf>
    <xf numFmtId="188" fontId="4" fillId="0" borderId="26" xfId="81" applyNumberFormat="1" applyFont="1" applyBorder="1">
      <alignment/>
      <protection/>
    </xf>
    <xf numFmtId="206" fontId="4" fillId="0" borderId="20" xfId="81" applyNumberFormat="1" applyFont="1" applyBorder="1">
      <alignment/>
      <protection/>
    </xf>
    <xf numFmtId="0" fontId="14" fillId="0" borderId="0" xfId="81" applyFont="1" applyBorder="1">
      <alignment/>
      <protection/>
    </xf>
    <xf numFmtId="171" fontId="4" fillId="0" borderId="21" xfId="61" applyFont="1" applyBorder="1" applyAlignment="1">
      <alignment horizontal="center"/>
    </xf>
    <xf numFmtId="171" fontId="3" fillId="0" borderId="21" xfId="61" applyFont="1" applyBorder="1" applyAlignment="1">
      <alignment horizontal="center"/>
    </xf>
    <xf numFmtId="2" fontId="3" fillId="0" borderId="21" xfId="114" applyNumberFormat="1" applyFont="1" applyBorder="1" applyAlignment="1">
      <alignment horizontal="center"/>
    </xf>
    <xf numFmtId="188" fontId="7" fillId="0" borderId="21" xfId="81" applyNumberFormat="1" applyFont="1" applyBorder="1" applyAlignment="1">
      <alignment horizontal="center"/>
      <protection/>
    </xf>
    <xf numFmtId="171" fontId="4" fillId="0" borderId="27" xfId="61" applyFont="1" applyBorder="1" applyAlignment="1">
      <alignment horizontal="center"/>
    </xf>
    <xf numFmtId="194" fontId="3" fillId="0" borderId="21" xfId="61" applyNumberFormat="1" applyFont="1" applyBorder="1" applyAlignment="1">
      <alignment horizontal="center"/>
    </xf>
    <xf numFmtId="194" fontId="3" fillId="0" borderId="0" xfId="61" applyNumberFormat="1" applyFont="1" applyBorder="1" applyAlignment="1">
      <alignment horizontal="center"/>
    </xf>
    <xf numFmtId="171" fontId="3" fillId="0" borderId="20" xfId="61" applyNumberFormat="1" applyFont="1" applyBorder="1" applyAlignment="1">
      <alignment horizontal="center"/>
    </xf>
    <xf numFmtId="171" fontId="0" fillId="0" borderId="0" xfId="85" applyNumberFormat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5" xfId="81" applyFont="1" applyBorder="1">
      <alignment/>
      <protection/>
    </xf>
    <xf numFmtId="0" fontId="2" fillId="0" borderId="24" xfId="81" applyFont="1" applyBorder="1">
      <alignment/>
      <protection/>
    </xf>
    <xf numFmtId="0" fontId="3" fillId="0" borderId="0" xfId="81" applyFont="1" applyAlignment="1">
      <alignment horizontal="right"/>
      <protection/>
    </xf>
    <xf numFmtId="0" fontId="3" fillId="0" borderId="0" xfId="0" applyFont="1" applyAlignment="1">
      <alignment horizontal="left"/>
    </xf>
    <xf numFmtId="2" fontId="4" fillId="0" borderId="20" xfId="81" applyNumberFormat="1" applyFont="1" applyBorder="1">
      <alignment/>
      <protection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6" xfId="81" applyFont="1" applyBorder="1">
      <alignment/>
      <protection/>
    </xf>
    <xf numFmtId="0" fontId="3" fillId="0" borderId="19" xfId="81" applyFont="1" applyBorder="1" applyAlignment="1">
      <alignment horizontal="center" wrapText="1"/>
      <protection/>
    </xf>
    <xf numFmtId="2" fontId="0" fillId="0" borderId="0" xfId="0" applyNumberFormat="1" applyFont="1" applyAlignment="1">
      <alignment/>
    </xf>
    <xf numFmtId="188" fontId="3" fillId="0" borderId="19" xfId="81" applyNumberFormat="1" applyFont="1" applyBorder="1" applyAlignment="1">
      <alignment horizontal="center" wrapText="1"/>
      <protection/>
    </xf>
    <xf numFmtId="0" fontId="0" fillId="0" borderId="28" xfId="0" applyFont="1" applyBorder="1" applyAlignment="1">
      <alignment/>
    </xf>
    <xf numFmtId="206" fontId="4" fillId="0" borderId="0" xfId="81" applyNumberFormat="1" applyFont="1" applyBorder="1">
      <alignment/>
      <protection/>
    </xf>
    <xf numFmtId="0" fontId="35" fillId="0" borderId="0" xfId="0" applyFont="1" applyAlignment="1">
      <alignment/>
    </xf>
    <xf numFmtId="0" fontId="3" fillId="0" borderId="23" xfId="81" applyFont="1" applyBorder="1" applyAlignment="1">
      <alignment wrapText="1"/>
      <protection/>
    </xf>
    <xf numFmtId="171" fontId="4" fillId="0" borderId="19" xfId="112" applyFont="1" applyBorder="1" applyAlignment="1">
      <alignment/>
    </xf>
    <xf numFmtId="171" fontId="3" fillId="0" borderId="19" xfId="112" applyFont="1" applyBorder="1" applyAlignment="1">
      <alignment/>
    </xf>
    <xf numFmtId="0" fontId="4" fillId="0" borderId="19" xfId="81" applyFont="1" applyFill="1" applyBorder="1" applyAlignment="1">
      <alignment horizontal="left" wrapText="1"/>
      <protection/>
    </xf>
    <xf numFmtId="2" fontId="4" fillId="0" borderId="21" xfId="114" applyNumberFormat="1" applyFont="1" applyBorder="1" applyAlignment="1">
      <alignment horizontal="center"/>
    </xf>
    <xf numFmtId="0" fontId="5" fillId="0" borderId="19" xfId="81" applyFont="1" applyFill="1" applyBorder="1" applyAlignment="1">
      <alignment horizontal="left" wrapText="1"/>
      <protection/>
    </xf>
    <xf numFmtId="171" fontId="0" fillId="0" borderId="19" xfId="112" applyFont="1" applyBorder="1" applyAlignment="1">
      <alignment/>
    </xf>
    <xf numFmtId="0" fontId="0" fillId="0" borderId="0" xfId="85" applyFont="1">
      <alignment/>
      <protection/>
    </xf>
    <xf numFmtId="43" fontId="0" fillId="0" borderId="0" xfId="85" applyNumberFormat="1">
      <alignment/>
      <protection/>
    </xf>
    <xf numFmtId="0" fontId="6" fillId="0" borderId="0" xfId="85" applyFont="1">
      <alignment/>
      <protection/>
    </xf>
    <xf numFmtId="171" fontId="6" fillId="0" borderId="0" xfId="85" applyNumberFormat="1" applyFont="1">
      <alignment/>
      <protection/>
    </xf>
    <xf numFmtId="43" fontId="6" fillId="0" borderId="0" xfId="85" applyNumberFormat="1" applyFont="1">
      <alignment/>
      <protection/>
    </xf>
    <xf numFmtId="2" fontId="0" fillId="0" borderId="0" xfId="85" applyNumberFormat="1">
      <alignment/>
      <protection/>
    </xf>
    <xf numFmtId="0" fontId="0" fillId="0" borderId="19" xfId="85" applyFont="1" applyBorder="1">
      <alignment/>
      <protection/>
    </xf>
    <xf numFmtId="43" fontId="6" fillId="0" borderId="0" xfId="85" applyNumberFormat="1" applyFont="1" applyBorder="1">
      <alignment/>
      <protection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9" xfId="0" applyFont="1" applyBorder="1" applyAlignment="1">
      <alignment horizontal="right"/>
    </xf>
    <xf numFmtId="188" fontId="4" fillId="0" borderId="19" xfId="81" applyNumberFormat="1" applyFont="1" applyBorder="1" quotePrefix="1">
      <alignment/>
      <protection/>
    </xf>
    <xf numFmtId="188" fontId="4" fillId="0" borderId="29" xfId="81" applyNumberFormat="1" applyFont="1" applyBorder="1">
      <alignment/>
      <protection/>
    </xf>
    <xf numFmtId="171" fontId="0" fillId="0" borderId="0" xfId="85" applyNumberFormat="1" applyBorder="1">
      <alignment/>
      <protection/>
    </xf>
    <xf numFmtId="0" fontId="3" fillId="55" borderId="19" xfId="81" applyFont="1" applyFill="1" applyBorder="1" applyAlignment="1">
      <alignment horizontal="center" wrapText="1"/>
      <protection/>
    </xf>
    <xf numFmtId="0" fontId="36" fillId="0" borderId="0" xfId="85" applyFont="1">
      <alignment/>
      <protection/>
    </xf>
    <xf numFmtId="171" fontId="36" fillId="0" borderId="0" xfId="112" applyFont="1" applyAlignment="1">
      <alignment/>
    </xf>
    <xf numFmtId="171" fontId="37" fillId="0" borderId="0" xfId="112" applyFont="1" applyAlignment="1">
      <alignment/>
    </xf>
    <xf numFmtId="0" fontId="4" fillId="55" borderId="23" xfId="81" applyFont="1" applyFill="1" applyBorder="1" applyAlignment="1">
      <alignment wrapText="1"/>
      <protection/>
    </xf>
    <xf numFmtId="188" fontId="4" fillId="55" borderId="19" xfId="81" applyNumberFormat="1" applyFont="1" applyFill="1" applyBorder="1">
      <alignment/>
      <protection/>
    </xf>
    <xf numFmtId="171" fontId="4" fillId="55" borderId="19" xfId="112" applyFont="1" applyFill="1" applyBorder="1" applyAlignment="1">
      <alignment/>
    </xf>
    <xf numFmtId="0" fontId="3" fillId="0" borderId="19" xfId="81" applyFont="1" applyFill="1" applyBorder="1">
      <alignment/>
      <protection/>
    </xf>
    <xf numFmtId="0" fontId="10" fillId="0" borderId="19" xfId="85" applyFont="1" applyBorder="1">
      <alignment/>
      <protection/>
    </xf>
    <xf numFmtId="0" fontId="15" fillId="0" borderId="19" xfId="85" applyFont="1" applyBorder="1">
      <alignment/>
      <protection/>
    </xf>
    <xf numFmtId="200" fontId="4" fillId="0" borderId="19" xfId="81" applyNumberFormat="1" applyFont="1" applyBorder="1">
      <alignment/>
      <protection/>
    </xf>
    <xf numFmtId="188" fontId="3" fillId="55" borderId="19" xfId="81" applyNumberFormat="1" applyFont="1" applyFill="1" applyBorder="1" applyAlignment="1" quotePrefix="1">
      <alignment horizontal="center"/>
      <protection/>
    </xf>
    <xf numFmtId="217" fontId="0" fillId="0" borderId="0" xfId="0" applyNumberFormat="1" applyAlignment="1">
      <alignment/>
    </xf>
    <xf numFmtId="0" fontId="3" fillId="10" borderId="19" xfId="81" applyFont="1" applyFill="1" applyBorder="1" applyAlignment="1">
      <alignment horizontal="center" wrapText="1"/>
      <protection/>
    </xf>
    <xf numFmtId="188" fontId="3" fillId="10" borderId="19" xfId="81" applyNumberFormat="1" applyFont="1" applyFill="1" applyBorder="1" applyAlignment="1" quotePrefix="1">
      <alignment horizontal="center"/>
      <protection/>
    </xf>
    <xf numFmtId="0" fontId="3" fillId="33" borderId="19" xfId="81" applyFont="1" applyFill="1" applyBorder="1" applyAlignment="1">
      <alignment horizontal="center" wrapText="1"/>
      <protection/>
    </xf>
    <xf numFmtId="188" fontId="3" fillId="33" borderId="19" xfId="81" applyNumberFormat="1" applyFont="1" applyFill="1" applyBorder="1" applyAlignment="1" quotePrefix="1">
      <alignment horizontal="center"/>
      <protection/>
    </xf>
    <xf numFmtId="188" fontId="3" fillId="56" borderId="19" xfId="81" applyNumberFormat="1" applyFont="1" applyFill="1" applyBorder="1" applyAlignment="1">
      <alignment horizontal="center"/>
      <protection/>
    </xf>
    <xf numFmtId="0" fontId="0" fillId="56" borderId="30" xfId="0" applyFill="1" applyBorder="1" applyAlignment="1">
      <alignment/>
    </xf>
    <xf numFmtId="0" fontId="0" fillId="56" borderId="31" xfId="0" applyFill="1" applyBorder="1" applyAlignment="1">
      <alignment/>
    </xf>
    <xf numFmtId="0" fontId="0" fillId="56" borderId="32" xfId="0" applyFill="1" applyBorder="1" applyAlignment="1">
      <alignment/>
    </xf>
    <xf numFmtId="206" fontId="4" fillId="11" borderId="20" xfId="81" applyNumberFormat="1" applyFont="1" applyFill="1" applyBorder="1">
      <alignment/>
      <protection/>
    </xf>
  </cellXfs>
  <cellStyles count="10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 4" xfId="62"/>
    <cellStyle name="Comma 4 2" xfId="63"/>
    <cellStyle name="Currency 2" xfId="64"/>
    <cellStyle name="Dob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vadno_pomoč na domu kalkulacija cene  2005" xfId="81"/>
    <cellStyle name="Neutral" xfId="82"/>
    <cellStyle name="Nevtralno" xfId="83"/>
    <cellStyle name="Normal 2" xfId="84"/>
    <cellStyle name="Normal 3" xfId="85"/>
    <cellStyle name="Normal 4" xfId="86"/>
    <cellStyle name="Note" xfId="87"/>
    <cellStyle name="Followed Hyperlink" xfId="88"/>
    <cellStyle name="Percent" xfId="89"/>
    <cellStyle name="Odstotek 2" xfId="90"/>
    <cellStyle name="Opomba" xfId="91"/>
    <cellStyle name="Opozorilo" xfId="92"/>
    <cellStyle name="Output" xfId="93"/>
    <cellStyle name="Percent 2" xfId="94"/>
    <cellStyle name="Percent 3" xfId="95"/>
    <cellStyle name="Percent 3 2" xfId="96"/>
    <cellStyle name="Pojasnjevalno besedilo" xfId="97"/>
    <cellStyle name="Poudarek1" xfId="98"/>
    <cellStyle name="Poudarek2" xfId="99"/>
    <cellStyle name="Poudarek3" xfId="100"/>
    <cellStyle name="Poudarek4" xfId="101"/>
    <cellStyle name="Poudarek5" xfId="102"/>
    <cellStyle name="Poudarek6" xfId="103"/>
    <cellStyle name="Povezana celica" xfId="104"/>
    <cellStyle name="Preveri celico" xfId="105"/>
    <cellStyle name="Računanje" xfId="106"/>
    <cellStyle name="Slabo" xfId="107"/>
    <cellStyle name="Title" xfId="108"/>
    <cellStyle name="Total" xfId="109"/>
    <cellStyle name="Currency" xfId="110"/>
    <cellStyle name="Currency [0]" xfId="111"/>
    <cellStyle name="Comma" xfId="112"/>
    <cellStyle name="Comma [0]" xfId="113"/>
    <cellStyle name="Vejica 2" xfId="114"/>
    <cellStyle name="Vnos" xfId="115"/>
    <cellStyle name="Vsota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D%202009\PLA&#268;E%20ZAPOSLENIH%20-%20NOVEMBER%202009%20-%202010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SD%202009\PLA&#268;E%20ZAPOSLENIH%20-%202010%20%20%20P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2009"/>
      <sheetName val="jan 2010"/>
      <sheetName val="direktor"/>
      <sheetName val="pomožno"/>
      <sheetName val="nov09"/>
      <sheetName val="jan2010"/>
    </sheetNames>
    <sheetDataSet>
      <sheetData sheetId="3">
        <row r="2">
          <cell r="A2" t="str">
            <v>I.</v>
          </cell>
          <cell r="G2">
            <v>0.03</v>
          </cell>
        </row>
        <row r="3">
          <cell r="A3" t="str">
            <v>II.</v>
          </cell>
          <cell r="G3">
            <v>0.04</v>
          </cell>
        </row>
        <row r="4">
          <cell r="A4" t="str">
            <v>III.</v>
          </cell>
          <cell r="G4">
            <v>0.05</v>
          </cell>
        </row>
        <row r="5">
          <cell r="A5" t="str">
            <v>IV.</v>
          </cell>
          <cell r="G5">
            <v>0.06</v>
          </cell>
        </row>
        <row r="6">
          <cell r="A6" t="str">
            <v>V.</v>
          </cell>
        </row>
        <row r="7">
          <cell r="A7" t="str">
            <v>VI.</v>
          </cell>
        </row>
        <row r="8">
          <cell r="A8" t="str">
            <v>VII/1.</v>
          </cell>
        </row>
        <row r="9">
          <cell r="A9" t="str">
            <v>VII/2.</v>
          </cell>
        </row>
        <row r="10">
          <cell r="A10" t="str">
            <v>VIII.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november 2009"/>
      <sheetName val="direktor"/>
      <sheetName val="pomožno"/>
    </sheetNames>
    <sheetDataSet>
      <sheetData sheetId="3">
        <row r="2">
          <cell r="A2" t="str">
            <v>I.</v>
          </cell>
          <cell r="B2">
            <v>0</v>
          </cell>
          <cell r="G2">
            <v>0.03</v>
          </cell>
          <cell r="I2">
            <v>45.9</v>
          </cell>
        </row>
        <row r="3">
          <cell r="A3" t="str">
            <v>II.</v>
          </cell>
          <cell r="B3">
            <v>1</v>
          </cell>
          <cell r="G3">
            <v>0.04</v>
          </cell>
          <cell r="I3">
            <v>71.4</v>
          </cell>
        </row>
        <row r="4">
          <cell r="A4" t="str">
            <v>III.</v>
          </cell>
          <cell r="B4">
            <v>2</v>
          </cell>
          <cell r="G4">
            <v>0.05</v>
          </cell>
          <cell r="I4">
            <v>117.3</v>
          </cell>
        </row>
        <row r="5">
          <cell r="A5" t="str">
            <v>IV.</v>
          </cell>
          <cell r="B5">
            <v>3</v>
          </cell>
          <cell r="G5">
            <v>0.06</v>
          </cell>
        </row>
        <row r="6">
          <cell r="A6" t="str">
            <v>V.</v>
          </cell>
        </row>
        <row r="7">
          <cell r="A7" t="str">
            <v>VI.</v>
          </cell>
        </row>
        <row r="8">
          <cell r="A8" t="str">
            <v>VII/1.</v>
          </cell>
        </row>
        <row r="9">
          <cell r="A9" t="str">
            <v>VII/2.</v>
          </cell>
        </row>
        <row r="10">
          <cell r="A10" t="str">
            <v>VIII.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.421875" style="57" customWidth="1"/>
    <col min="2" max="2" width="30.8515625" style="57" customWidth="1"/>
    <col min="3" max="3" width="17.28125" style="57" customWidth="1"/>
    <col min="4" max="4" width="17.421875" style="57" customWidth="1"/>
    <col min="5" max="5" width="14.8515625" style="57" customWidth="1"/>
    <col min="6" max="6" width="12.7109375" style="57" customWidth="1"/>
    <col min="7" max="16384" width="9.140625" style="57" customWidth="1"/>
  </cols>
  <sheetData>
    <row r="1" spans="1:2" ht="12.75">
      <c r="A1" s="61"/>
      <c r="B1" s="61"/>
    </row>
    <row r="2" spans="1:2" ht="12.75">
      <c r="A2" s="61"/>
      <c r="B2" s="61"/>
    </row>
    <row r="3" spans="1:2" ht="12.75">
      <c r="A3" s="62" t="s">
        <v>64</v>
      </c>
      <c r="B3" s="62" t="s">
        <v>65</v>
      </c>
    </row>
    <row r="4" spans="1:2" ht="12.75">
      <c r="A4" s="63" t="s">
        <v>66</v>
      </c>
      <c r="B4" s="63"/>
    </row>
    <row r="5" spans="1:2" ht="12.75">
      <c r="A5" s="11"/>
      <c r="B5" s="11"/>
    </row>
    <row r="6" spans="1:4" ht="53.25" customHeight="1">
      <c r="A6" s="8"/>
      <c r="B6" s="8"/>
      <c r="C6" s="74" t="s">
        <v>111</v>
      </c>
      <c r="D6" s="122" t="s">
        <v>122</v>
      </c>
    </row>
    <row r="7" spans="1:4" ht="12.75">
      <c r="A7" s="2">
        <v>1</v>
      </c>
      <c r="B7" s="2" t="s">
        <v>67</v>
      </c>
      <c r="C7" s="75">
        <f>+C24+C25+C31+C23+C18</f>
        <v>1259.0047879710146</v>
      </c>
      <c r="D7" s="115">
        <f>+C7*10.5</f>
        <v>13219.550273695653</v>
      </c>
    </row>
    <row r="8" spans="1:4" ht="12.75">
      <c r="A8" s="8"/>
      <c r="B8" s="58" t="s">
        <v>68</v>
      </c>
      <c r="C8" s="82"/>
      <c r="D8" s="115">
        <f aca="true" t="shared" si="0" ref="D8:D50">+C8*10.5</f>
        <v>0</v>
      </c>
    </row>
    <row r="9" spans="1:4" ht="12.75">
      <c r="A9" s="8"/>
      <c r="B9" s="65" t="s">
        <v>69</v>
      </c>
      <c r="C9" s="82"/>
      <c r="D9" s="115">
        <f t="shared" si="0"/>
        <v>0</v>
      </c>
    </row>
    <row r="10" spans="1:4" ht="12.75">
      <c r="A10" s="8"/>
      <c r="B10" s="65" t="s">
        <v>70</v>
      </c>
      <c r="C10" s="82"/>
      <c r="D10" s="115">
        <f t="shared" si="0"/>
        <v>0</v>
      </c>
    </row>
    <row r="11" spans="1:4" ht="12.75">
      <c r="A11" s="8"/>
      <c r="B11" s="65" t="s">
        <v>71</v>
      </c>
      <c r="C11" s="82"/>
      <c r="D11" s="115">
        <f t="shared" si="0"/>
        <v>0</v>
      </c>
    </row>
    <row r="12" spans="1:4" ht="12.75">
      <c r="A12" s="8"/>
      <c r="B12" s="65" t="s">
        <v>72</v>
      </c>
      <c r="C12" s="82"/>
      <c r="D12" s="115">
        <f t="shared" si="0"/>
        <v>0</v>
      </c>
    </row>
    <row r="13" spans="1:4" ht="12.75">
      <c r="A13" s="8"/>
      <c r="B13" s="65" t="s">
        <v>73</v>
      </c>
      <c r="C13" s="82"/>
      <c r="D13" s="115">
        <f t="shared" si="0"/>
        <v>0</v>
      </c>
    </row>
    <row r="14" spans="1:4" ht="12.75">
      <c r="A14" s="8"/>
      <c r="B14" s="65" t="s">
        <v>74</v>
      </c>
      <c r="C14" s="82"/>
      <c r="D14" s="115">
        <f t="shared" si="0"/>
        <v>0</v>
      </c>
    </row>
    <row r="15" spans="1:4" ht="12.75">
      <c r="A15" s="8"/>
      <c r="B15" s="65" t="s">
        <v>75</v>
      </c>
      <c r="C15" s="82"/>
      <c r="D15" s="115">
        <f t="shared" si="0"/>
        <v>0</v>
      </c>
    </row>
    <row r="16" spans="1:4" ht="12.75">
      <c r="A16" s="8"/>
      <c r="B16" s="65" t="s">
        <v>0</v>
      </c>
      <c r="C16" s="82"/>
      <c r="D16" s="115">
        <f t="shared" si="0"/>
        <v>0</v>
      </c>
    </row>
    <row r="17" spans="1:4" ht="12.75">
      <c r="A17" s="8"/>
      <c r="B17" s="65" t="s">
        <v>36</v>
      </c>
      <c r="C17" s="82"/>
      <c r="D17" s="115">
        <f t="shared" si="0"/>
        <v>0</v>
      </c>
    </row>
    <row r="18" spans="1:4" ht="12.75">
      <c r="A18" s="8"/>
      <c r="B18" s="58" t="s">
        <v>118</v>
      </c>
      <c r="C18" s="82">
        <v>22.4</v>
      </c>
      <c r="D18" s="115">
        <f t="shared" si="0"/>
        <v>235.2</v>
      </c>
    </row>
    <row r="19" spans="1:4" ht="12.75">
      <c r="A19" s="2" t="s">
        <v>37</v>
      </c>
      <c r="B19" s="2" t="s">
        <v>77</v>
      </c>
      <c r="C19" s="83"/>
      <c r="D19" s="115">
        <f t="shared" si="0"/>
        <v>0</v>
      </c>
    </row>
    <row r="20" spans="1:4" ht="12.75">
      <c r="A20" s="2" t="s">
        <v>38</v>
      </c>
      <c r="B20" s="2" t="s">
        <v>1</v>
      </c>
      <c r="C20" s="83"/>
      <c r="D20" s="115">
        <f t="shared" si="0"/>
        <v>0</v>
      </c>
    </row>
    <row r="21" spans="1:4" ht="12.75">
      <c r="A21" s="2" t="s">
        <v>39</v>
      </c>
      <c r="B21" s="2" t="s">
        <v>2</v>
      </c>
      <c r="C21" s="83"/>
      <c r="D21" s="115">
        <f t="shared" si="0"/>
        <v>0</v>
      </c>
    </row>
    <row r="22" spans="1:4" ht="27.75" customHeight="1">
      <c r="A22" s="2" t="s">
        <v>40</v>
      </c>
      <c r="B22" s="40" t="s">
        <v>45</v>
      </c>
      <c r="C22" s="83"/>
      <c r="D22" s="115">
        <f t="shared" si="0"/>
        <v>0</v>
      </c>
    </row>
    <row r="23" spans="1:4" ht="24">
      <c r="A23" s="2" t="s">
        <v>47</v>
      </c>
      <c r="B23" s="66" t="s">
        <v>114</v>
      </c>
      <c r="C23" s="83">
        <f>(C24+C18)*3.83/100</f>
        <v>39.95073000000001</v>
      </c>
      <c r="D23" s="115">
        <f t="shared" si="0"/>
        <v>419.48266500000005</v>
      </c>
    </row>
    <row r="24" spans="1:4" ht="12.75">
      <c r="A24" s="2" t="s">
        <v>37</v>
      </c>
      <c r="B24" s="112" t="s">
        <v>78</v>
      </c>
      <c r="C24" s="113">
        <v>1020.7</v>
      </c>
      <c r="D24" s="115">
        <f t="shared" si="0"/>
        <v>10717.35</v>
      </c>
    </row>
    <row r="25" spans="1:4" ht="12.75">
      <c r="A25" s="2" t="s">
        <v>38</v>
      </c>
      <c r="B25" s="8" t="s">
        <v>3</v>
      </c>
      <c r="C25" s="113">
        <f>+C26+C27+C28+C29+C30</f>
        <v>139.40405797101448</v>
      </c>
      <c r="D25" s="115">
        <f t="shared" si="0"/>
        <v>1463.742608695652</v>
      </c>
    </row>
    <row r="26" spans="1:4" ht="12.75">
      <c r="A26" s="8"/>
      <c r="B26" s="65" t="s">
        <v>4</v>
      </c>
      <c r="C26" s="113">
        <f>484.4/12</f>
        <v>40.36666666666667</v>
      </c>
      <c r="D26" s="115">
        <f t="shared" si="0"/>
        <v>423.85</v>
      </c>
    </row>
    <row r="27" spans="1:4" ht="12.75">
      <c r="A27" s="8"/>
      <c r="B27" s="65" t="s">
        <v>5</v>
      </c>
      <c r="C27" s="113">
        <f>3.52*20</f>
        <v>70.4</v>
      </c>
      <c r="D27" s="115">
        <f t="shared" si="0"/>
        <v>739.2</v>
      </c>
    </row>
    <row r="28" spans="1:4" ht="12.75">
      <c r="A28" s="8"/>
      <c r="B28" s="65" t="s">
        <v>6</v>
      </c>
      <c r="C28" s="113">
        <v>22.36</v>
      </c>
      <c r="D28" s="115">
        <f t="shared" si="0"/>
        <v>234.78</v>
      </c>
    </row>
    <row r="29" spans="1:4" ht="12.75">
      <c r="A29" s="2"/>
      <c r="B29" s="8" t="s">
        <v>79</v>
      </c>
      <c r="C29" s="113">
        <f>(288.76*3/12)/11.5</f>
        <v>6.277391304347826</v>
      </c>
      <c r="D29" s="115">
        <f t="shared" si="0"/>
        <v>65.91260869565217</v>
      </c>
    </row>
    <row r="30" spans="1:4" ht="12.75">
      <c r="A30" s="138"/>
      <c r="B30" s="138"/>
      <c r="C30" s="113"/>
      <c r="D30" s="115">
        <f t="shared" si="0"/>
        <v>0</v>
      </c>
    </row>
    <row r="31" spans="1:4" ht="12.75">
      <c r="A31" s="139" t="s">
        <v>39</v>
      </c>
      <c r="B31" s="114" t="s">
        <v>87</v>
      </c>
      <c r="C31" s="113">
        <v>36.55</v>
      </c>
      <c r="D31" s="115">
        <f t="shared" si="0"/>
        <v>383.775</v>
      </c>
    </row>
    <row r="32" spans="1:4" ht="12.75">
      <c r="A32" s="139"/>
      <c r="B32" s="114"/>
      <c r="C32" s="113"/>
      <c r="D32" s="115">
        <f t="shared" si="0"/>
        <v>0</v>
      </c>
    </row>
    <row r="33" spans="1:4" ht="12.75">
      <c r="A33" s="139"/>
      <c r="B33" s="114"/>
      <c r="C33" s="113">
        <f>+C34+C42</f>
        <v>276.9810533536232</v>
      </c>
      <c r="D33" s="115">
        <f t="shared" si="0"/>
        <v>2908.301060213044</v>
      </c>
    </row>
    <row r="34" spans="1:4" ht="17.25" customHeight="1">
      <c r="A34" s="2">
        <v>2</v>
      </c>
      <c r="B34" s="67" t="s">
        <v>80</v>
      </c>
      <c r="C34" s="84">
        <f>+C7*0.22</f>
        <v>276.9810533536232</v>
      </c>
      <c r="D34" s="115">
        <f t="shared" si="0"/>
        <v>2908.301060213044</v>
      </c>
    </row>
    <row r="35" spans="1:4" ht="16.5" customHeight="1">
      <c r="A35" s="64" t="s">
        <v>37</v>
      </c>
      <c r="B35" s="20" t="s">
        <v>51</v>
      </c>
      <c r="C35" s="85"/>
      <c r="D35" s="115">
        <f t="shared" si="0"/>
        <v>0</v>
      </c>
    </row>
    <row r="36" spans="1:4" ht="17.25" customHeight="1">
      <c r="A36" s="8" t="s">
        <v>38</v>
      </c>
      <c r="B36" s="20" t="s">
        <v>52</v>
      </c>
      <c r="C36" s="82"/>
      <c r="D36" s="115">
        <f t="shared" si="0"/>
        <v>0</v>
      </c>
    </row>
    <row r="37" spans="1:4" ht="12.75">
      <c r="A37" s="8" t="s">
        <v>39</v>
      </c>
      <c r="B37" s="8" t="s">
        <v>53</v>
      </c>
      <c r="C37" s="82"/>
      <c r="D37" s="115">
        <f t="shared" si="0"/>
        <v>0</v>
      </c>
    </row>
    <row r="38" spans="1:4" ht="36">
      <c r="A38" s="8" t="s">
        <v>40</v>
      </c>
      <c r="B38" s="40" t="s">
        <v>54</v>
      </c>
      <c r="C38" s="82"/>
      <c r="D38" s="115">
        <f t="shared" si="0"/>
        <v>0</v>
      </c>
    </row>
    <row r="39" spans="1:4" ht="12.75">
      <c r="A39" s="68" t="s">
        <v>41</v>
      </c>
      <c r="B39" s="8" t="s">
        <v>46</v>
      </c>
      <c r="C39" s="82"/>
      <c r="D39" s="115">
        <f t="shared" si="0"/>
        <v>0</v>
      </c>
    </row>
    <row r="40" spans="1:4" ht="12.75">
      <c r="A40" s="68" t="s">
        <v>43</v>
      </c>
      <c r="B40" s="8" t="s">
        <v>42</v>
      </c>
      <c r="C40" s="86"/>
      <c r="D40" s="115">
        <f t="shared" si="0"/>
        <v>0</v>
      </c>
    </row>
    <row r="41" spans="1:4" ht="12.75">
      <c r="A41" s="69" t="s">
        <v>47</v>
      </c>
      <c r="B41" s="68" t="s">
        <v>55</v>
      </c>
      <c r="C41" s="86"/>
      <c r="D41" s="115">
        <f t="shared" si="0"/>
        <v>0</v>
      </c>
    </row>
    <row r="42" spans="1:4" ht="12.75">
      <c r="A42" s="137">
        <v>3</v>
      </c>
      <c r="B42" s="137" t="s">
        <v>120</v>
      </c>
      <c r="C42" s="86"/>
      <c r="D42" s="115">
        <f t="shared" si="0"/>
        <v>0</v>
      </c>
    </row>
    <row r="43" spans="1:4" ht="12.75">
      <c r="A43" s="2">
        <v>4</v>
      </c>
      <c r="B43" s="2" t="s">
        <v>16</v>
      </c>
      <c r="C43" s="83"/>
      <c r="D43" s="115">
        <f t="shared" si="0"/>
        <v>0</v>
      </c>
    </row>
    <row r="44" spans="1:4" ht="12.75">
      <c r="A44" s="2">
        <v>5</v>
      </c>
      <c r="B44" s="2" t="s">
        <v>17</v>
      </c>
      <c r="C44" s="82"/>
      <c r="D44" s="115">
        <f t="shared" si="0"/>
        <v>0</v>
      </c>
    </row>
    <row r="45" spans="1:4" ht="12.75">
      <c r="A45" s="2">
        <v>6</v>
      </c>
      <c r="B45" s="2" t="s">
        <v>18</v>
      </c>
      <c r="C45" s="82"/>
      <c r="D45" s="115">
        <f t="shared" si="0"/>
        <v>0</v>
      </c>
    </row>
    <row r="46" spans="1:4" ht="12.75">
      <c r="A46" s="2"/>
      <c r="B46" s="2" t="s">
        <v>121</v>
      </c>
      <c r="C46" s="87"/>
      <c r="D46" s="115">
        <f t="shared" si="0"/>
        <v>0</v>
      </c>
    </row>
    <row r="47" spans="1:4" ht="12.75">
      <c r="A47" s="9"/>
      <c r="B47" s="10" t="s">
        <v>48</v>
      </c>
      <c r="C47" s="88"/>
      <c r="D47" s="115">
        <f t="shared" si="0"/>
        <v>0</v>
      </c>
    </row>
    <row r="48" spans="1:4" ht="12.75">
      <c r="A48" s="9"/>
      <c r="B48" s="9" t="s">
        <v>85</v>
      </c>
      <c r="C48" s="88"/>
      <c r="D48" s="115">
        <f t="shared" si="0"/>
        <v>0</v>
      </c>
    </row>
    <row r="49" spans="1:4" ht="12.75">
      <c r="A49" s="9"/>
      <c r="B49" s="9"/>
      <c r="C49" s="88"/>
      <c r="D49" s="115">
        <f t="shared" si="0"/>
        <v>0</v>
      </c>
    </row>
    <row r="50" spans="1:4" ht="12.75">
      <c r="A50" s="59"/>
      <c r="B50" s="60" t="s">
        <v>20</v>
      </c>
      <c r="C50" s="89">
        <f>+C7+C33</f>
        <v>1535.985841324638</v>
      </c>
      <c r="D50" s="115">
        <f t="shared" si="0"/>
        <v>16127.851333908699</v>
      </c>
    </row>
    <row r="51" spans="1:3" ht="12.75">
      <c r="A51" s="9"/>
      <c r="B51" s="9"/>
      <c r="C51" s="71"/>
    </row>
    <row r="52" spans="1:3" ht="12.75">
      <c r="A52" s="9"/>
      <c r="B52" s="9"/>
      <c r="C52" s="71"/>
    </row>
    <row r="53" spans="1:3" ht="12.75">
      <c r="A53" s="9"/>
      <c r="B53" s="9"/>
      <c r="C53" s="71"/>
    </row>
    <row r="54" spans="1:3" ht="12.75">
      <c r="A54" s="9"/>
      <c r="B54" s="9"/>
      <c r="C54" s="71"/>
    </row>
    <row r="55" spans="1:3" ht="12.75">
      <c r="A55" s="9"/>
      <c r="B55" s="9"/>
      <c r="C55" s="71"/>
    </row>
    <row r="56" spans="1:3" ht="12.75">
      <c r="A56" s="9"/>
      <c r="B56" s="9"/>
      <c r="C56" s="71"/>
    </row>
    <row r="57" spans="1:3" ht="12.75">
      <c r="A57" s="9"/>
      <c r="B57" s="9"/>
      <c r="C57" s="71"/>
    </row>
    <row r="58" spans="1:3" ht="12.75">
      <c r="A58" s="9"/>
      <c r="B58" s="9"/>
      <c r="C58" s="70"/>
    </row>
    <row r="59" spans="1:3" ht="12.75">
      <c r="A59" s="9" t="s">
        <v>81</v>
      </c>
      <c r="B59" s="9"/>
      <c r="C59" s="70"/>
    </row>
    <row r="60" spans="1:3" ht="12.75">
      <c r="A60" s="63" t="s">
        <v>44</v>
      </c>
      <c r="B60" s="11"/>
      <c r="C60" s="72"/>
    </row>
    <row r="61" spans="1:5" ht="20.25" customHeight="1">
      <c r="A61" s="8"/>
      <c r="B61" s="8"/>
      <c r="C61" s="40"/>
      <c r="D61" s="122" t="s">
        <v>110</v>
      </c>
      <c r="E61" s="121"/>
    </row>
    <row r="62" spans="1:4" ht="12.75">
      <c r="A62" s="2">
        <v>1</v>
      </c>
      <c r="B62" s="2" t="s">
        <v>67</v>
      </c>
      <c r="C62" s="75">
        <f>+C74+C75+C80</f>
        <v>1825.1266666666666</v>
      </c>
      <c r="D62" s="115">
        <f>+C62*0.6</f>
        <v>1095.0759999999998</v>
      </c>
    </row>
    <row r="63" spans="1:4" ht="12.75">
      <c r="A63" s="8"/>
      <c r="B63" s="73" t="s">
        <v>82</v>
      </c>
      <c r="C63" s="76"/>
      <c r="D63" s="115">
        <f>+C63*0.6</f>
        <v>0</v>
      </c>
    </row>
    <row r="64" spans="1:4" ht="12.75">
      <c r="A64" s="8"/>
      <c r="B64" s="65" t="s">
        <v>83</v>
      </c>
      <c r="C64" s="76"/>
      <c r="D64" s="115">
        <f aca="true" t="shared" si="1" ref="D64:D81">+C64*0.6</f>
        <v>0</v>
      </c>
    </row>
    <row r="65" spans="1:7" ht="12.75">
      <c r="A65" s="8"/>
      <c r="B65" s="65" t="s">
        <v>84</v>
      </c>
      <c r="C65" s="76"/>
      <c r="D65" s="115">
        <f t="shared" si="1"/>
        <v>0</v>
      </c>
      <c r="G65" s="121"/>
    </row>
    <row r="66" spans="1:4" ht="12.75">
      <c r="A66" s="8"/>
      <c r="B66" s="65" t="s">
        <v>71</v>
      </c>
      <c r="C66" s="76"/>
      <c r="D66" s="115">
        <f t="shared" si="1"/>
        <v>0</v>
      </c>
    </row>
    <row r="67" spans="1:9" ht="12.75">
      <c r="A67" s="8"/>
      <c r="B67" s="65" t="s">
        <v>72</v>
      </c>
      <c r="C67" s="76"/>
      <c r="D67" s="115">
        <f t="shared" si="1"/>
        <v>0</v>
      </c>
      <c r="I67" s="121"/>
    </row>
    <row r="68" spans="1:4" ht="12.75">
      <c r="A68" s="8"/>
      <c r="B68" s="65" t="s">
        <v>73</v>
      </c>
      <c r="C68" s="76"/>
      <c r="D68" s="115">
        <f t="shared" si="1"/>
        <v>0</v>
      </c>
    </row>
    <row r="69" spans="1:4" ht="12.75">
      <c r="A69" s="8"/>
      <c r="B69" s="65" t="s">
        <v>74</v>
      </c>
      <c r="C69" s="76"/>
      <c r="D69" s="115">
        <f t="shared" si="1"/>
        <v>0</v>
      </c>
    </row>
    <row r="70" spans="1:4" ht="12.75">
      <c r="A70" s="8"/>
      <c r="B70" s="65" t="s">
        <v>75</v>
      </c>
      <c r="C70" s="76"/>
      <c r="D70" s="115">
        <f t="shared" si="1"/>
        <v>0</v>
      </c>
    </row>
    <row r="71" spans="1:4" ht="12.75">
      <c r="A71" s="8"/>
      <c r="B71" s="65" t="s">
        <v>0</v>
      </c>
      <c r="C71" s="76"/>
      <c r="D71" s="115">
        <f t="shared" si="1"/>
        <v>0</v>
      </c>
    </row>
    <row r="72" spans="1:4" ht="12.75">
      <c r="A72" s="8"/>
      <c r="B72" s="65" t="s">
        <v>36</v>
      </c>
      <c r="C72" s="76"/>
      <c r="D72" s="115">
        <f t="shared" si="1"/>
        <v>0</v>
      </c>
    </row>
    <row r="73" spans="1:4" ht="12.75">
      <c r="A73" s="8"/>
      <c r="B73" s="58" t="s">
        <v>76</v>
      </c>
      <c r="C73" s="76"/>
      <c r="D73" s="115">
        <f t="shared" si="1"/>
        <v>0</v>
      </c>
    </row>
    <row r="74" spans="1:4" ht="12.75">
      <c r="A74" s="2" t="s">
        <v>37</v>
      </c>
      <c r="B74" s="112" t="s">
        <v>78</v>
      </c>
      <c r="C74" s="76">
        <v>1658.3</v>
      </c>
      <c r="D74" s="115">
        <f t="shared" si="1"/>
        <v>994.9799999999999</v>
      </c>
    </row>
    <row r="75" spans="1:4" ht="12.75">
      <c r="A75" s="2" t="s">
        <v>38</v>
      </c>
      <c r="B75" s="8" t="s">
        <v>3</v>
      </c>
      <c r="C75" s="76">
        <f>+C76+C77+C78</f>
        <v>140.15666666666664</v>
      </c>
      <c r="D75" s="115">
        <f t="shared" si="1"/>
        <v>84.09399999999998</v>
      </c>
    </row>
    <row r="76" spans="1:4" ht="12.75">
      <c r="A76" s="8"/>
      <c r="B76" s="65" t="s">
        <v>4</v>
      </c>
      <c r="C76" s="76">
        <f>484.4/12</f>
        <v>40.36666666666667</v>
      </c>
      <c r="D76" s="115">
        <f t="shared" si="1"/>
        <v>24.22</v>
      </c>
    </row>
    <row r="77" spans="1:4" ht="12.75">
      <c r="A77" s="8"/>
      <c r="B77" s="65" t="s">
        <v>5</v>
      </c>
      <c r="C77" s="76">
        <v>70.99</v>
      </c>
      <c r="D77" s="115">
        <f t="shared" si="1"/>
        <v>42.593999999999994</v>
      </c>
    </row>
    <row r="78" spans="1:4" ht="12.75">
      <c r="A78" s="8"/>
      <c r="B78" s="65" t="s">
        <v>6</v>
      </c>
      <c r="C78" s="76">
        <f>12*0.12*20</f>
        <v>28.799999999999997</v>
      </c>
      <c r="D78" s="115">
        <f t="shared" si="1"/>
        <v>17.279999999999998</v>
      </c>
    </row>
    <row r="79" spans="1:4" ht="12.75">
      <c r="A79" s="2"/>
      <c r="B79" s="65"/>
      <c r="C79" s="76"/>
      <c r="D79" s="115">
        <f t="shared" si="1"/>
        <v>0</v>
      </c>
    </row>
    <row r="80" spans="1:4" ht="12.75">
      <c r="A80" s="2" t="s">
        <v>39</v>
      </c>
      <c r="B80" s="114" t="s">
        <v>87</v>
      </c>
      <c r="C80" s="76">
        <v>26.67</v>
      </c>
      <c r="D80" s="115">
        <f t="shared" si="1"/>
        <v>16.002</v>
      </c>
    </row>
    <row r="81" spans="1:4" ht="14.25" customHeight="1">
      <c r="A81" s="2">
        <v>2</v>
      </c>
      <c r="B81" s="67" t="s">
        <v>112</v>
      </c>
      <c r="C81" s="75">
        <f>+C62*0.95</f>
        <v>1733.870333333333</v>
      </c>
      <c r="D81" s="115">
        <f t="shared" si="1"/>
        <v>1040.3221999999998</v>
      </c>
    </row>
    <row r="82" spans="1:4" ht="12.75">
      <c r="A82" s="59"/>
      <c r="B82" s="60" t="str">
        <f>+B50</f>
        <v>SKUPAJ</v>
      </c>
      <c r="C82" s="75">
        <f>+C62+C81</f>
        <v>3558.9969999999994</v>
      </c>
      <c r="D82" s="115">
        <f>+C82*0.6</f>
        <v>2135.3981999999996</v>
      </c>
    </row>
    <row r="84" spans="3:6" ht="12.75">
      <c r="C84" s="116" t="s">
        <v>21</v>
      </c>
      <c r="D84" s="57" t="s">
        <v>117</v>
      </c>
      <c r="E84" s="116" t="s">
        <v>19</v>
      </c>
      <c r="F84" s="131" t="s">
        <v>88</v>
      </c>
    </row>
    <row r="85" spans="2:7" ht="12.75">
      <c r="B85" s="57" t="str">
        <f>+B62</f>
        <v>STROŠKI DELA ( a+b)</v>
      </c>
      <c r="C85" s="90">
        <f>+D7</f>
        <v>13219.550273695653</v>
      </c>
      <c r="D85" s="90">
        <f>+D62</f>
        <v>1095.0759999999998</v>
      </c>
      <c r="E85" s="117">
        <f>+C85+D85</f>
        <v>14314.626273695652</v>
      </c>
      <c r="F85" s="132">
        <f>+E85*12</f>
        <v>171775.5152843478</v>
      </c>
      <c r="G85" s="117"/>
    </row>
    <row r="86" spans="2:7" ht="12.75">
      <c r="B86" s="57" t="str">
        <f>+B81</f>
        <v>STR.BLAGA, MATER. IN STORITEV</v>
      </c>
      <c r="C86" s="90">
        <f>+D34</f>
        <v>2908.301060213044</v>
      </c>
      <c r="D86" s="90">
        <f>+D81</f>
        <v>1040.3221999999998</v>
      </c>
      <c r="E86" s="117">
        <f>+C86+D86</f>
        <v>3948.623260213044</v>
      </c>
      <c r="F86" s="132">
        <f>+E86*12</f>
        <v>47383.47912255653</v>
      </c>
      <c r="G86" s="117"/>
    </row>
    <row r="87" spans="2:7" ht="12.75">
      <c r="B87" s="118" t="str">
        <f>+B82</f>
        <v>SKUPAJ</v>
      </c>
      <c r="C87" s="119">
        <f>+D50</f>
        <v>16127.851333908699</v>
      </c>
      <c r="D87" s="90">
        <f>SUM(D85:D86)</f>
        <v>2135.3981999999996</v>
      </c>
      <c r="E87" s="120">
        <f>+C87+D87</f>
        <v>18263.249533908696</v>
      </c>
      <c r="F87" s="133">
        <f>+E87*12</f>
        <v>219158.99440690436</v>
      </c>
      <c r="G87" s="117"/>
    </row>
    <row r="88" spans="2:5" ht="12.75">
      <c r="B88" s="118"/>
      <c r="C88" s="118"/>
      <c r="D88" s="123"/>
      <c r="E88" s="118"/>
    </row>
    <row r="89" ht="12.75">
      <c r="D89" s="77"/>
    </row>
    <row r="90" ht="12.75">
      <c r="D90" s="77"/>
    </row>
    <row r="91" ht="12.75">
      <c r="D91" s="77"/>
    </row>
    <row r="92" spans="2:4" ht="12.75">
      <c r="B92" s="118"/>
      <c r="D92" s="129"/>
    </row>
    <row r="93" ht="12.75">
      <c r="D93" s="77"/>
    </row>
    <row r="94" ht="12.75">
      <c r="D94" s="77"/>
    </row>
    <row r="95" ht="12.75">
      <c r="D95" s="77"/>
    </row>
    <row r="96" ht="12.75">
      <c r="D96" s="77"/>
    </row>
    <row r="97" ht="12.75">
      <c r="D97" s="77"/>
    </row>
    <row r="98" ht="12.75">
      <c r="D98" s="77"/>
    </row>
  </sheetData>
  <sheetProtection/>
  <printOptions/>
  <pageMargins left="0.25" right="0.5" top="0.59" bottom="0.22" header="0.13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O76"/>
  <sheetViews>
    <sheetView zoomScalePageLayoutView="0" workbookViewId="0" topLeftCell="A61">
      <selection activeCell="L15" sqref="L15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17.421875" style="0" customWidth="1"/>
    <col min="4" max="4" width="13.8515625" style="0" customWidth="1"/>
    <col min="5" max="5" width="11.00390625" style="0" customWidth="1"/>
    <col min="6" max="6" width="10.8515625" style="0" customWidth="1"/>
    <col min="7" max="7" width="13.8515625" style="0" customWidth="1"/>
    <col min="8" max="8" width="11.57421875" style="0" customWidth="1"/>
    <col min="10" max="10" width="5.140625" style="0" customWidth="1"/>
    <col min="11" max="11" width="4.7109375" style="0" customWidth="1"/>
    <col min="12" max="12" width="30.421875" style="0" customWidth="1"/>
    <col min="13" max="13" width="14.57421875" style="0" customWidth="1"/>
    <col min="14" max="14" width="15.57421875" style="0" customWidth="1"/>
    <col min="17" max="17" width="8.140625" style="0" customWidth="1"/>
    <col min="22" max="22" width="5.7109375" style="0" customWidth="1"/>
    <col min="23" max="24" width="12.140625" style="0" customWidth="1"/>
    <col min="27" max="27" width="10.28125" style="0" customWidth="1"/>
    <col min="32" max="32" width="6.8515625" style="0" customWidth="1"/>
    <col min="33" max="33" width="16.00390625" style="0" customWidth="1"/>
    <col min="34" max="34" width="13.8515625" style="0" customWidth="1"/>
    <col min="37" max="37" width="11.140625" style="0" customWidth="1"/>
    <col min="39" max="39" width="9.8515625" style="0" customWidth="1"/>
  </cols>
  <sheetData>
    <row r="1" spans="2:41" ht="12.75">
      <c r="B1" s="100"/>
      <c r="C1" s="100"/>
      <c r="D1" s="100"/>
      <c r="E1" s="100"/>
      <c r="F1" s="100"/>
      <c r="G1" s="100"/>
      <c r="H1" s="100"/>
      <c r="I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99"/>
    </row>
    <row r="2" spans="2:41" ht="12.75">
      <c r="B2" s="7"/>
      <c r="C2" s="11" t="s">
        <v>26</v>
      </c>
      <c r="D2" s="11"/>
      <c r="E2" s="11"/>
      <c r="F2" s="11"/>
      <c r="G2" s="11"/>
      <c r="H2" s="11" t="s">
        <v>22</v>
      </c>
      <c r="I2" s="91"/>
      <c r="K2" s="7"/>
      <c r="N2" s="11"/>
      <c r="O2" s="11"/>
      <c r="P2" s="11"/>
      <c r="Q2" s="11"/>
      <c r="R2" s="11"/>
      <c r="S2" s="11"/>
      <c r="T2" s="92"/>
      <c r="U2" s="100"/>
      <c r="V2" s="7"/>
      <c r="W2" s="11" t="s">
        <v>26</v>
      </c>
      <c r="X2" s="11"/>
      <c r="Y2" s="11"/>
      <c r="Z2" s="11"/>
      <c r="AA2" s="11"/>
      <c r="AB2" s="11"/>
      <c r="AC2" s="11" t="s">
        <v>22</v>
      </c>
      <c r="AD2" s="92"/>
      <c r="AE2" s="100"/>
      <c r="AF2" s="7"/>
      <c r="AG2" s="11" t="s">
        <v>26</v>
      </c>
      <c r="AH2" s="11"/>
      <c r="AI2" s="11"/>
      <c r="AJ2" s="11"/>
      <c r="AK2" s="11"/>
      <c r="AL2" s="11"/>
      <c r="AM2" s="11" t="s">
        <v>22</v>
      </c>
      <c r="AN2" s="92"/>
      <c r="AO2" s="99"/>
    </row>
    <row r="3" spans="2:41" ht="12.75">
      <c r="B3" s="7"/>
      <c r="C3" s="11"/>
      <c r="D3" s="11"/>
      <c r="E3" s="11"/>
      <c r="F3" s="11"/>
      <c r="G3" s="11"/>
      <c r="H3" s="11"/>
      <c r="I3" s="91"/>
      <c r="K3" s="7"/>
      <c r="L3" s="11"/>
      <c r="M3" s="11"/>
      <c r="N3" s="11"/>
      <c r="O3" s="11"/>
      <c r="P3" s="11"/>
      <c r="Q3" s="11"/>
      <c r="R3" s="11"/>
      <c r="S3" s="11"/>
      <c r="T3" s="92"/>
      <c r="U3" s="100"/>
      <c r="V3" s="7"/>
      <c r="W3" s="11"/>
      <c r="X3" s="11"/>
      <c r="Y3" s="11"/>
      <c r="Z3" s="11"/>
      <c r="AA3" s="11"/>
      <c r="AB3" s="11"/>
      <c r="AC3" s="11"/>
      <c r="AD3" s="92"/>
      <c r="AE3" s="100"/>
      <c r="AF3" s="7"/>
      <c r="AG3" s="11"/>
      <c r="AH3" s="11"/>
      <c r="AI3" s="11"/>
      <c r="AJ3" s="11"/>
      <c r="AK3" s="11"/>
      <c r="AL3" s="11"/>
      <c r="AM3" s="11"/>
      <c r="AN3" s="92"/>
      <c r="AO3" s="99"/>
    </row>
    <row r="4" spans="2:41" ht="12.75">
      <c r="B4" s="7"/>
      <c r="C4" s="11" t="s">
        <v>7</v>
      </c>
      <c r="D4" s="24"/>
      <c r="E4" s="11"/>
      <c r="F4" s="11"/>
      <c r="G4" s="11"/>
      <c r="H4" s="11"/>
      <c r="I4" s="92"/>
      <c r="K4" s="7"/>
      <c r="L4" s="11"/>
      <c r="M4" s="11"/>
      <c r="N4" s="24"/>
      <c r="O4" s="11"/>
      <c r="P4" s="11"/>
      <c r="Q4" s="11"/>
      <c r="R4" s="11"/>
      <c r="S4" s="11"/>
      <c r="T4" s="92"/>
      <c r="U4" s="100"/>
      <c r="V4" s="7"/>
      <c r="W4" s="11" t="s">
        <v>7</v>
      </c>
      <c r="X4" s="24"/>
      <c r="Y4" s="11"/>
      <c r="Z4" s="11"/>
      <c r="AA4" s="11"/>
      <c r="AB4" s="11"/>
      <c r="AC4" s="11"/>
      <c r="AD4" s="92"/>
      <c r="AE4" s="100"/>
      <c r="AF4" s="7"/>
      <c r="AG4" s="11" t="s">
        <v>7</v>
      </c>
      <c r="AH4" s="24"/>
      <c r="AI4" s="11"/>
      <c r="AJ4" s="11"/>
      <c r="AK4" s="11"/>
      <c r="AL4" s="11"/>
      <c r="AM4" s="11"/>
      <c r="AN4" s="92"/>
      <c r="AO4" s="99"/>
    </row>
    <row r="5" spans="2:41" ht="12.75">
      <c r="B5" s="7"/>
      <c r="C5" s="11" t="s">
        <v>8</v>
      </c>
      <c r="D5" s="10" t="s">
        <v>23</v>
      </c>
      <c r="E5" s="11"/>
      <c r="F5" s="11"/>
      <c r="G5" s="10"/>
      <c r="H5" s="10"/>
      <c r="I5" s="92"/>
      <c r="K5" s="28"/>
      <c r="L5" s="10"/>
      <c r="M5" s="10"/>
      <c r="N5" s="10"/>
      <c r="O5" s="10"/>
      <c r="P5" s="10"/>
      <c r="Q5" s="10"/>
      <c r="R5" s="10"/>
      <c r="S5" s="10"/>
      <c r="T5" s="92"/>
      <c r="U5" s="100"/>
      <c r="V5" s="7"/>
      <c r="W5" s="11" t="s">
        <v>8</v>
      </c>
      <c r="X5" s="10" t="s">
        <v>23</v>
      </c>
      <c r="Y5" s="11"/>
      <c r="Z5" s="11"/>
      <c r="AA5" s="11"/>
      <c r="AB5" s="10"/>
      <c r="AC5" s="10"/>
      <c r="AD5" s="92"/>
      <c r="AE5" s="100"/>
      <c r="AF5" s="7"/>
      <c r="AG5" s="11" t="s">
        <v>8</v>
      </c>
      <c r="AH5" s="10" t="s">
        <v>23</v>
      </c>
      <c r="AI5" s="11"/>
      <c r="AJ5" s="11"/>
      <c r="AK5" s="11"/>
      <c r="AL5" s="10"/>
      <c r="AM5" s="10"/>
      <c r="AN5" s="92"/>
      <c r="AO5" s="99"/>
    </row>
    <row r="6" spans="2:41" ht="12.75">
      <c r="B6" s="7"/>
      <c r="C6" s="11"/>
      <c r="D6" s="10"/>
      <c r="E6" s="10"/>
      <c r="F6" s="10"/>
      <c r="G6" s="12"/>
      <c r="H6" s="55"/>
      <c r="I6" s="56"/>
      <c r="K6" s="28"/>
      <c r="L6" s="10"/>
      <c r="M6" s="10"/>
      <c r="N6" s="10"/>
      <c r="O6" s="10"/>
      <c r="P6" s="10"/>
      <c r="Q6" s="10"/>
      <c r="R6" s="12"/>
      <c r="S6" s="55"/>
      <c r="T6" s="56"/>
      <c r="U6" s="100"/>
      <c r="V6" s="7"/>
      <c r="W6" s="11"/>
      <c r="X6" s="10"/>
      <c r="Y6" s="10"/>
      <c r="Z6" s="10"/>
      <c r="AA6" s="10"/>
      <c r="AB6" s="12"/>
      <c r="AC6" s="55"/>
      <c r="AD6" s="56"/>
      <c r="AE6" s="100"/>
      <c r="AF6" s="7"/>
      <c r="AG6" s="11"/>
      <c r="AH6" s="10"/>
      <c r="AI6" s="10"/>
      <c r="AJ6" s="10"/>
      <c r="AK6" s="10"/>
      <c r="AL6" s="12"/>
      <c r="AM6" s="55"/>
      <c r="AN6" s="56"/>
      <c r="AO6" s="99"/>
    </row>
    <row r="7" spans="2:41" ht="12.75">
      <c r="B7" s="1">
        <v>1</v>
      </c>
      <c r="C7" s="13" t="s">
        <v>27</v>
      </c>
      <c r="D7" s="13"/>
      <c r="E7" s="13"/>
      <c r="F7" s="94"/>
      <c r="G7" s="78"/>
      <c r="H7" s="15">
        <f>+H8+H9</f>
        <v>11.0975</v>
      </c>
      <c r="I7" s="101"/>
      <c r="K7" s="28"/>
      <c r="L7" s="10"/>
      <c r="M7" s="10"/>
      <c r="N7" s="10"/>
      <c r="O7" s="10"/>
      <c r="P7" s="10"/>
      <c r="Q7" s="10"/>
      <c r="R7" s="12"/>
      <c r="S7" s="12"/>
      <c r="T7" s="101"/>
      <c r="U7" s="100"/>
      <c r="V7" s="1">
        <v>1</v>
      </c>
      <c r="W7" s="13" t="s">
        <v>27</v>
      </c>
      <c r="X7" s="13"/>
      <c r="Y7" s="13"/>
      <c r="Z7" s="13"/>
      <c r="AA7" s="94"/>
      <c r="AB7" s="78"/>
      <c r="AC7" s="15"/>
      <c r="AD7" s="101"/>
      <c r="AE7" s="100"/>
      <c r="AF7" s="1">
        <v>1</v>
      </c>
      <c r="AG7" s="13" t="s">
        <v>27</v>
      </c>
      <c r="AH7" s="13"/>
      <c r="AI7" s="13"/>
      <c r="AJ7" s="13"/>
      <c r="AK7" s="94"/>
      <c r="AL7" s="78"/>
      <c r="AM7" s="15"/>
      <c r="AN7" s="101"/>
      <c r="AO7" s="99"/>
    </row>
    <row r="8" spans="2:41" ht="12.75">
      <c r="B8" s="1">
        <v>2</v>
      </c>
      <c r="C8" s="13" t="s">
        <v>98</v>
      </c>
      <c r="E8" s="13"/>
      <c r="F8" s="13" t="s">
        <v>96</v>
      </c>
      <c r="G8" s="5"/>
      <c r="H8" s="98">
        <f>0.005*67+0.025*10.5</f>
        <v>0.5975</v>
      </c>
      <c r="I8" s="10"/>
      <c r="K8" s="28"/>
      <c r="L8" s="10"/>
      <c r="M8" s="10"/>
      <c r="N8" s="10"/>
      <c r="O8" s="10"/>
      <c r="P8" s="10"/>
      <c r="Q8" s="12"/>
      <c r="R8" s="32"/>
      <c r="S8" s="32"/>
      <c r="T8" s="10"/>
      <c r="U8" s="100"/>
      <c r="V8" s="1">
        <v>2</v>
      </c>
      <c r="W8" s="13" t="s">
        <v>28</v>
      </c>
      <c r="X8" s="13" t="s">
        <v>56</v>
      </c>
      <c r="Y8" s="13"/>
      <c r="AA8" s="13" t="s">
        <v>96</v>
      </c>
      <c r="AB8" s="98"/>
      <c r="AC8" s="98">
        <f>0.005*67+0.025*10.73</f>
        <v>0.6032500000000001</v>
      </c>
      <c r="AD8" s="10"/>
      <c r="AE8" s="100"/>
      <c r="AF8" s="1">
        <v>2</v>
      </c>
      <c r="AG8" s="13" t="s">
        <v>28</v>
      </c>
      <c r="AH8" s="13" t="s">
        <v>56</v>
      </c>
      <c r="AI8" s="13"/>
      <c r="AK8" s="13" t="s">
        <v>96</v>
      </c>
      <c r="AL8" s="98"/>
      <c r="AM8" s="98">
        <f>0.005*67+0.025*10.73</f>
        <v>0.6032500000000001</v>
      </c>
      <c r="AN8" s="10"/>
      <c r="AO8" s="99"/>
    </row>
    <row r="9" spans="2:41" ht="12.75">
      <c r="B9" s="1">
        <v>3</v>
      </c>
      <c r="C9" s="14" t="s">
        <v>29</v>
      </c>
      <c r="D9" s="13"/>
      <c r="E9" s="13"/>
      <c r="F9" s="102"/>
      <c r="G9" s="79"/>
      <c r="H9" s="15">
        <v>10.5</v>
      </c>
      <c r="I9" s="12"/>
      <c r="K9" s="28"/>
      <c r="L9" s="10"/>
      <c r="M9" s="10"/>
      <c r="N9" s="10"/>
      <c r="O9" s="10"/>
      <c r="P9" s="10"/>
      <c r="Q9" s="10"/>
      <c r="R9" s="12"/>
      <c r="S9" s="12"/>
      <c r="T9" s="12"/>
      <c r="U9" s="100"/>
      <c r="V9" s="1">
        <v>3</v>
      </c>
      <c r="W9" s="14" t="s">
        <v>29</v>
      </c>
      <c r="X9" s="13"/>
      <c r="Y9" s="13"/>
      <c r="Z9" s="13"/>
      <c r="AA9" s="102"/>
      <c r="AB9" s="79"/>
      <c r="AC9" s="15">
        <f>+AC11/AC10</f>
        <v>10.5</v>
      </c>
      <c r="AD9" s="12"/>
      <c r="AE9" s="100"/>
      <c r="AF9" s="1">
        <v>3</v>
      </c>
      <c r="AG9" s="14" t="s">
        <v>29</v>
      </c>
      <c r="AH9" s="13"/>
      <c r="AI9" s="13"/>
      <c r="AJ9" s="13"/>
      <c r="AK9" s="102"/>
      <c r="AL9" s="79"/>
      <c r="AM9" s="15">
        <f>+AM11/AM10</f>
        <v>10.5</v>
      </c>
      <c r="AN9" s="12"/>
      <c r="AO9" s="99"/>
    </row>
    <row r="10" spans="2:41" ht="12.75">
      <c r="B10" s="1">
        <v>4</v>
      </c>
      <c r="C10" s="14" t="s">
        <v>30</v>
      </c>
      <c r="D10" s="13"/>
      <c r="E10" s="13"/>
      <c r="F10" s="10"/>
      <c r="G10" s="15"/>
      <c r="H10" s="80">
        <v>120</v>
      </c>
      <c r="I10" s="12"/>
      <c r="K10" s="28"/>
      <c r="L10" s="10"/>
      <c r="M10" s="10"/>
      <c r="N10" s="10"/>
      <c r="O10" s="10"/>
      <c r="P10" s="10"/>
      <c r="Q10" s="10"/>
      <c r="R10" s="12"/>
      <c r="S10" s="107"/>
      <c r="T10" s="12"/>
      <c r="U10" s="100"/>
      <c r="V10" s="1">
        <v>4</v>
      </c>
      <c r="W10" s="14" t="s">
        <v>30</v>
      </c>
      <c r="X10" s="13"/>
      <c r="Y10" s="13"/>
      <c r="Z10" s="10"/>
      <c r="AA10" s="10"/>
      <c r="AB10" s="15"/>
      <c r="AC10" s="80">
        <v>120</v>
      </c>
      <c r="AD10" s="12"/>
      <c r="AE10" s="100"/>
      <c r="AF10" s="1">
        <v>4</v>
      </c>
      <c r="AG10" s="14" t="s">
        <v>30</v>
      </c>
      <c r="AH10" s="13"/>
      <c r="AI10" s="13"/>
      <c r="AJ10" s="10"/>
      <c r="AK10" s="10"/>
      <c r="AL10" s="15"/>
      <c r="AM10" s="80">
        <v>120</v>
      </c>
      <c r="AN10" s="12"/>
      <c r="AO10" s="99"/>
    </row>
    <row r="11" spans="2:41" ht="12.75">
      <c r="B11" s="1">
        <v>5</v>
      </c>
      <c r="C11" s="14" t="s">
        <v>35</v>
      </c>
      <c r="D11" s="13"/>
      <c r="E11" s="13"/>
      <c r="F11" s="13"/>
      <c r="G11" s="15"/>
      <c r="H11" s="151">
        <f>+H9*H10</f>
        <v>1260</v>
      </c>
      <c r="I11" s="12"/>
      <c r="K11" s="28"/>
      <c r="L11" s="10"/>
      <c r="M11" s="10"/>
      <c r="N11" s="10"/>
      <c r="O11" s="10"/>
      <c r="P11" s="10"/>
      <c r="Q11" s="10"/>
      <c r="R11" s="12"/>
      <c r="S11" s="107"/>
      <c r="T11" s="12"/>
      <c r="U11" s="100"/>
      <c r="V11" s="1">
        <v>5</v>
      </c>
      <c r="W11" s="14" t="s">
        <v>35</v>
      </c>
      <c r="X11" s="13"/>
      <c r="Y11" s="13"/>
      <c r="Z11" s="13"/>
      <c r="AA11" s="13"/>
      <c r="AB11" s="15"/>
      <c r="AC11" s="80">
        <v>1260</v>
      </c>
      <c r="AD11" s="12"/>
      <c r="AE11" s="100"/>
      <c r="AF11" s="1">
        <v>5</v>
      </c>
      <c r="AG11" s="14" t="s">
        <v>35</v>
      </c>
      <c r="AH11" s="13"/>
      <c r="AI11" s="13"/>
      <c r="AJ11" s="13"/>
      <c r="AK11" s="13"/>
      <c r="AL11" s="15"/>
      <c r="AM11" s="80">
        <v>1260</v>
      </c>
      <c r="AN11" s="12"/>
      <c r="AO11" s="99"/>
    </row>
    <row r="12" spans="2:41" ht="12.75">
      <c r="B12" s="28"/>
      <c r="C12" s="10"/>
      <c r="D12" s="10"/>
      <c r="E12" s="10"/>
      <c r="F12" s="10"/>
      <c r="G12" s="12"/>
      <c r="H12" s="107"/>
      <c r="I12" s="12"/>
      <c r="K12" s="28"/>
      <c r="L12" s="10"/>
      <c r="M12" s="10"/>
      <c r="N12" s="10"/>
      <c r="O12" s="10"/>
      <c r="P12" s="10"/>
      <c r="Q12" s="10"/>
      <c r="R12" s="12"/>
      <c r="S12" s="107"/>
      <c r="T12" s="12"/>
      <c r="U12" s="100"/>
      <c r="V12" s="28"/>
      <c r="W12" s="10"/>
      <c r="X12" s="10"/>
      <c r="Y12" s="10"/>
      <c r="Z12" s="10"/>
      <c r="AA12" s="10"/>
      <c r="AB12" s="12"/>
      <c r="AC12" s="107"/>
      <c r="AD12" s="12"/>
      <c r="AE12" s="100"/>
      <c r="AF12" s="28"/>
      <c r="AG12" s="10"/>
      <c r="AH12" s="10"/>
      <c r="AI12" s="10"/>
      <c r="AJ12" s="10"/>
      <c r="AK12" s="10"/>
      <c r="AL12" s="12"/>
      <c r="AM12" s="107"/>
      <c r="AN12" s="12"/>
      <c r="AO12" s="99"/>
    </row>
    <row r="13" spans="2:41" ht="12.75">
      <c r="B13" s="7"/>
      <c r="C13" s="10"/>
      <c r="D13" s="10"/>
      <c r="E13" s="10"/>
      <c r="F13" s="10"/>
      <c r="G13" s="12"/>
      <c r="H13" s="10"/>
      <c r="I13" s="92"/>
      <c r="V13" s="7"/>
      <c r="W13" s="10"/>
      <c r="X13" s="10"/>
      <c r="Y13" s="10"/>
      <c r="Z13" s="10"/>
      <c r="AA13" s="10"/>
      <c r="AB13" s="12"/>
      <c r="AC13" s="10"/>
      <c r="AD13" s="92"/>
      <c r="AE13" s="100"/>
      <c r="AF13" s="7"/>
      <c r="AG13" s="10"/>
      <c r="AH13" s="10"/>
      <c r="AI13" s="10"/>
      <c r="AJ13" s="10"/>
      <c r="AK13" s="10"/>
      <c r="AL13" s="12"/>
      <c r="AM13" s="10"/>
      <c r="AN13" s="92"/>
      <c r="AO13" s="99"/>
    </row>
    <row r="14" spans="2:40" ht="74.25" customHeight="1">
      <c r="B14" s="53"/>
      <c r="C14" s="8"/>
      <c r="D14" s="46" t="s">
        <v>60</v>
      </c>
      <c r="E14" s="16" t="s">
        <v>9</v>
      </c>
      <c r="F14" s="16" t="s">
        <v>49</v>
      </c>
      <c r="G14" s="17" t="s">
        <v>95</v>
      </c>
      <c r="H14" s="16" t="s">
        <v>31</v>
      </c>
      <c r="U14" s="53"/>
      <c r="V14" s="8" t="s">
        <v>91</v>
      </c>
      <c r="W14" s="46" t="s">
        <v>60</v>
      </c>
      <c r="X14" s="16" t="s">
        <v>9</v>
      </c>
      <c r="Y14" s="16" t="s">
        <v>49</v>
      </c>
      <c r="AA14" s="16" t="s">
        <v>50</v>
      </c>
      <c r="AB14" s="17" t="s">
        <v>95</v>
      </c>
      <c r="AC14" s="16" t="s">
        <v>31</v>
      </c>
      <c r="AD14" s="100"/>
      <c r="AE14" s="53"/>
      <c r="AF14" s="8" t="s">
        <v>93</v>
      </c>
      <c r="AG14" s="46" t="s">
        <v>60</v>
      </c>
      <c r="AH14" s="16" t="s">
        <v>9</v>
      </c>
      <c r="AI14" s="16" t="s">
        <v>49</v>
      </c>
      <c r="AK14" s="16" t="s">
        <v>50</v>
      </c>
      <c r="AL14" s="17" t="s">
        <v>95</v>
      </c>
      <c r="AM14" s="16" t="s">
        <v>31</v>
      </c>
      <c r="AN14" s="99"/>
    </row>
    <row r="15" spans="2:40" ht="12.75">
      <c r="B15" s="1"/>
      <c r="C15" s="18">
        <v>1</v>
      </c>
      <c r="D15" s="46"/>
      <c r="E15" s="18">
        <v>2</v>
      </c>
      <c r="F15" s="18">
        <v>3</v>
      </c>
      <c r="G15" s="18">
        <v>5</v>
      </c>
      <c r="H15" s="18">
        <v>6</v>
      </c>
      <c r="U15" s="1"/>
      <c r="V15" s="18">
        <v>1</v>
      </c>
      <c r="W15" s="46"/>
      <c r="X15" s="18">
        <v>2</v>
      </c>
      <c r="Y15" s="18">
        <v>3</v>
      </c>
      <c r="Z15" s="18" t="s">
        <v>62</v>
      </c>
      <c r="AA15" s="19">
        <v>4</v>
      </c>
      <c r="AB15" s="18">
        <v>5</v>
      </c>
      <c r="AC15" s="18">
        <v>6</v>
      </c>
      <c r="AD15" s="100"/>
      <c r="AE15" s="1"/>
      <c r="AF15" s="18">
        <v>1</v>
      </c>
      <c r="AG15" s="46"/>
      <c r="AH15" s="18">
        <v>2</v>
      </c>
      <c r="AI15" s="18">
        <v>3</v>
      </c>
      <c r="AJ15" s="18" t="s">
        <v>62</v>
      </c>
      <c r="AK15" s="19">
        <v>4</v>
      </c>
      <c r="AL15" s="18">
        <v>5</v>
      </c>
      <c r="AM15" s="18">
        <v>6</v>
      </c>
      <c r="AN15" s="99"/>
    </row>
    <row r="16" spans="2:40" ht="18" customHeight="1">
      <c r="B16" s="1" t="s">
        <v>10</v>
      </c>
      <c r="C16" s="20" t="s">
        <v>24</v>
      </c>
      <c r="D16" s="47">
        <v>3559</v>
      </c>
      <c r="E16" s="21">
        <f>+D16*0.6</f>
        <v>2135.4</v>
      </c>
      <c r="F16" s="21">
        <f>+E16</f>
        <v>2135.4</v>
      </c>
      <c r="G16" s="22">
        <f aca="true" t="shared" si="0" ref="G16:G21">+E16-F16</f>
        <v>0</v>
      </c>
      <c r="H16" s="17">
        <v>0</v>
      </c>
      <c r="L16" s="125"/>
      <c r="U16" s="1" t="s">
        <v>10</v>
      </c>
      <c r="V16" s="20" t="s">
        <v>24</v>
      </c>
      <c r="W16" s="47">
        <v>3846.14</v>
      </c>
      <c r="X16" s="21">
        <f>+W16*AC8</f>
        <v>2320.183955</v>
      </c>
      <c r="Y16" s="21">
        <f>+X16</f>
        <v>2320.183955</v>
      </c>
      <c r="Z16" s="21"/>
      <c r="AA16" s="21"/>
      <c r="AB16" s="22">
        <f aca="true" t="shared" si="1" ref="AB16:AB21">+X16-Y16-Z16-AA16</f>
        <v>0</v>
      </c>
      <c r="AC16" s="17">
        <f>+Y16/AC11</f>
        <v>1.8414158373015872</v>
      </c>
      <c r="AD16" s="100"/>
      <c r="AE16" s="1" t="s">
        <v>10</v>
      </c>
      <c r="AF16" s="20" t="s">
        <v>24</v>
      </c>
      <c r="AG16" s="47">
        <v>3846.14</v>
      </c>
      <c r="AH16" s="21">
        <f>+AG16*AM8</f>
        <v>2320.183955</v>
      </c>
      <c r="AI16" s="21">
        <f>+AH16</f>
        <v>2320.183955</v>
      </c>
      <c r="AJ16" s="21"/>
      <c r="AK16" s="21"/>
      <c r="AL16" s="22">
        <f aca="true" t="shared" si="2" ref="AL16:AL21">+AH16-AI16-AJ16-AK16</f>
        <v>0</v>
      </c>
      <c r="AM16" s="17">
        <f>+AI16/AM11</f>
        <v>1.8414158373015872</v>
      </c>
      <c r="AN16" s="99"/>
    </row>
    <row r="17" spans="2:40" ht="43.5" customHeight="1">
      <c r="B17" s="48" t="s">
        <v>12</v>
      </c>
      <c r="C17" s="49" t="s">
        <v>99</v>
      </c>
      <c r="D17" s="50">
        <f>+D18+D19</f>
        <v>1535.98</v>
      </c>
      <c r="E17" s="50">
        <f>+E18+E19</f>
        <v>16127.79</v>
      </c>
      <c r="F17" s="50">
        <f>+E17*0.5</f>
        <v>8063.895</v>
      </c>
      <c r="G17" s="51">
        <f t="shared" si="0"/>
        <v>8063.895</v>
      </c>
      <c r="H17" s="52">
        <f>+G17/H11</f>
        <v>6.399916666666667</v>
      </c>
      <c r="L17" s="125"/>
      <c r="U17" s="48" t="s">
        <v>12</v>
      </c>
      <c r="V17" s="49" t="s">
        <v>32</v>
      </c>
      <c r="W17" s="50">
        <f>+W18+W19</f>
        <v>1389.73</v>
      </c>
      <c r="X17" s="50">
        <f>+W17*AC9</f>
        <v>14592.165</v>
      </c>
      <c r="Y17" s="50">
        <f>+X17*0.5</f>
        <v>7296.0825</v>
      </c>
      <c r="Z17" s="50">
        <f>SUM(Z18:Z20)</f>
        <v>2188.8247499999998</v>
      </c>
      <c r="AA17" s="50">
        <f>+AA18+AA19+AA20</f>
        <v>27.7775</v>
      </c>
      <c r="AB17" s="26">
        <f t="shared" si="1"/>
        <v>5079.4802500000005</v>
      </c>
      <c r="AC17" s="52">
        <f>+AB17/AC11</f>
        <v>4.031333531746032</v>
      </c>
      <c r="AD17" s="100"/>
      <c r="AE17" s="48" t="s">
        <v>12</v>
      </c>
      <c r="AF17" s="49" t="s">
        <v>32</v>
      </c>
      <c r="AG17" s="50">
        <f>+AG18+AG19</f>
        <v>1389.73</v>
      </c>
      <c r="AH17" s="50">
        <f>+AG17*AM9</f>
        <v>14592.165</v>
      </c>
      <c r="AI17" s="50">
        <f>+AH17*0.5</f>
        <v>7296.0825</v>
      </c>
      <c r="AJ17" s="50">
        <f>SUM(AJ18:AJ20)</f>
        <v>2918.4330000000004</v>
      </c>
      <c r="AK17" s="50">
        <f>+AK18+AK19+AK20</f>
        <v>27.7775</v>
      </c>
      <c r="AL17" s="26">
        <f t="shared" si="2"/>
        <v>4349.871999999999</v>
      </c>
      <c r="AM17" s="52">
        <f>+AL17/AM11</f>
        <v>3.4522793650793644</v>
      </c>
      <c r="AN17" s="99"/>
    </row>
    <row r="18" spans="2:40" ht="24">
      <c r="B18" s="1" t="s">
        <v>11</v>
      </c>
      <c r="C18" s="20" t="s">
        <v>25</v>
      </c>
      <c r="D18" s="47">
        <v>1259</v>
      </c>
      <c r="E18" s="140">
        <f>+D18*10.5</f>
        <v>13219.5</v>
      </c>
      <c r="F18" s="21">
        <f>+E18*0.5</f>
        <v>6609.75</v>
      </c>
      <c r="G18" s="51">
        <f t="shared" si="0"/>
        <v>6609.75</v>
      </c>
      <c r="H18" s="52">
        <f>+G18/H11</f>
        <v>5.245833333333334</v>
      </c>
      <c r="L18" s="125"/>
      <c r="U18" s="1" t="s">
        <v>11</v>
      </c>
      <c r="V18" s="20" t="s">
        <v>25</v>
      </c>
      <c r="W18" s="47">
        <v>1218.94</v>
      </c>
      <c r="X18" s="21">
        <f>+W18*AC9</f>
        <v>12798.87</v>
      </c>
      <c r="Y18" s="21">
        <f>+X18*0.5</f>
        <v>6399.435</v>
      </c>
      <c r="Z18" s="21">
        <f>+X18*0.15</f>
        <v>1919.8305</v>
      </c>
      <c r="AA18" s="21">
        <f>333.33/12</f>
        <v>27.7775</v>
      </c>
      <c r="AB18" s="22">
        <f t="shared" si="1"/>
        <v>4451.827</v>
      </c>
      <c r="AC18" s="52">
        <f>+AB18/AC11</f>
        <v>3.533196031746032</v>
      </c>
      <c r="AD18" s="100"/>
      <c r="AE18" s="1" t="s">
        <v>11</v>
      </c>
      <c r="AF18" s="20" t="s">
        <v>25</v>
      </c>
      <c r="AG18" s="47">
        <v>1218.94</v>
      </c>
      <c r="AH18" s="21">
        <f>+AG18*AM9</f>
        <v>12798.87</v>
      </c>
      <c r="AI18" s="21">
        <f>+AH18*0.5</f>
        <v>6399.435</v>
      </c>
      <c r="AJ18" s="21">
        <f>+AH18*0.2</f>
        <v>2559.7740000000003</v>
      </c>
      <c r="AK18" s="21">
        <f>333.33/12</f>
        <v>27.7775</v>
      </c>
      <c r="AL18" s="22">
        <f t="shared" si="2"/>
        <v>3811.8835</v>
      </c>
      <c r="AM18" s="52">
        <f>+AL18/AM11</f>
        <v>3.025304365079365</v>
      </c>
      <c r="AN18" s="99"/>
    </row>
    <row r="19" spans="2:40" ht="43.5" customHeight="1">
      <c r="B19" s="1" t="s">
        <v>13</v>
      </c>
      <c r="C19" s="20" t="s">
        <v>33</v>
      </c>
      <c r="D19" s="47">
        <v>276.98</v>
      </c>
      <c r="E19" s="21">
        <f>+D19*10.5</f>
        <v>2908.29</v>
      </c>
      <c r="F19" s="21">
        <f>+E19*0.5</f>
        <v>1454.145</v>
      </c>
      <c r="G19" s="51">
        <f t="shared" si="0"/>
        <v>1454.145</v>
      </c>
      <c r="H19" s="52">
        <f>+G19/H11</f>
        <v>1.1540833333333333</v>
      </c>
      <c r="U19" s="1" t="s">
        <v>13</v>
      </c>
      <c r="V19" s="20" t="s">
        <v>33</v>
      </c>
      <c r="W19" s="47">
        <v>170.79</v>
      </c>
      <c r="X19" s="21">
        <f>+W19*AC9</f>
        <v>1793.2949999999998</v>
      </c>
      <c r="Y19" s="21">
        <f>+X19*0.5</f>
        <v>896.6474999999999</v>
      </c>
      <c r="Z19" s="21">
        <f>+X19*0.15</f>
        <v>268.99424999999997</v>
      </c>
      <c r="AA19" s="21"/>
      <c r="AB19" s="22">
        <f t="shared" si="1"/>
        <v>627.65325</v>
      </c>
      <c r="AC19" s="52">
        <f>+AB19/AC11</f>
        <v>0.49813749999999996</v>
      </c>
      <c r="AD19" s="100"/>
      <c r="AE19" s="1" t="s">
        <v>13</v>
      </c>
      <c r="AF19" s="20" t="s">
        <v>33</v>
      </c>
      <c r="AG19" s="47">
        <v>170.79</v>
      </c>
      <c r="AH19" s="21">
        <f>+AG19*AM9</f>
        <v>1793.2949999999998</v>
      </c>
      <c r="AI19" s="21">
        <f>+AH19*0.5</f>
        <v>896.6474999999999</v>
      </c>
      <c r="AJ19" s="21">
        <f>+AH19*0.2</f>
        <v>358.659</v>
      </c>
      <c r="AK19" s="21"/>
      <c r="AL19" s="22">
        <f t="shared" si="2"/>
        <v>537.9884999999999</v>
      </c>
      <c r="AM19" s="52">
        <f>+AL19/AM11</f>
        <v>0.42697499999999994</v>
      </c>
      <c r="AN19" s="99"/>
    </row>
    <row r="20" spans="2:40" ht="12.75">
      <c r="B20" s="1" t="s">
        <v>14</v>
      </c>
      <c r="C20" s="8" t="s">
        <v>61</v>
      </c>
      <c r="D20" s="46"/>
      <c r="E20" s="21">
        <f>+D20*1</f>
        <v>0</v>
      </c>
      <c r="F20" s="21">
        <f>+E20*0.5</f>
        <v>0</v>
      </c>
      <c r="G20" s="51">
        <f t="shared" si="0"/>
        <v>0</v>
      </c>
      <c r="H20" s="52"/>
      <c r="U20" s="1" t="s">
        <v>14</v>
      </c>
      <c r="V20" s="8" t="s">
        <v>61</v>
      </c>
      <c r="W20" s="46"/>
      <c r="X20" s="21">
        <f>+W20*1</f>
        <v>0</v>
      </c>
      <c r="Y20" s="21">
        <f>+X20*0.5</f>
        <v>0</v>
      </c>
      <c r="Z20" s="21">
        <f>+Y20*0.5</f>
        <v>0</v>
      </c>
      <c r="AA20" s="21"/>
      <c r="AB20" s="22">
        <f t="shared" si="1"/>
        <v>0</v>
      </c>
      <c r="AC20" s="52" t="e">
        <f>+AB20/#REF!</f>
        <v>#REF!</v>
      </c>
      <c r="AD20" s="100"/>
      <c r="AE20" s="1" t="s">
        <v>14</v>
      </c>
      <c r="AF20" s="8" t="s">
        <v>61</v>
      </c>
      <c r="AG20" s="46"/>
      <c r="AH20" s="21">
        <f>+AG20*1</f>
        <v>0</v>
      </c>
      <c r="AI20" s="21">
        <f>+AH20*0.5</f>
        <v>0</v>
      </c>
      <c r="AJ20" s="21">
        <f>+AI20*0.5</f>
        <v>0</v>
      </c>
      <c r="AK20" s="21"/>
      <c r="AL20" s="22">
        <f t="shared" si="2"/>
        <v>0</v>
      </c>
      <c r="AM20" s="52" t="e">
        <f>+AL20/#REF!</f>
        <v>#REF!</v>
      </c>
      <c r="AN20" s="99"/>
    </row>
    <row r="21" spans="2:40" ht="15" customHeight="1" thickBot="1">
      <c r="B21" s="1" t="s">
        <v>15</v>
      </c>
      <c r="C21" s="2" t="s">
        <v>34</v>
      </c>
      <c r="D21" s="25">
        <f>+D16+D17</f>
        <v>5094.98</v>
      </c>
      <c r="E21" s="25">
        <f>+E16+E17</f>
        <v>18263.190000000002</v>
      </c>
      <c r="F21" s="25">
        <f>+F16+F17</f>
        <v>10199.295</v>
      </c>
      <c r="G21" s="51">
        <f t="shared" si="0"/>
        <v>8063.895000000002</v>
      </c>
      <c r="H21" s="52">
        <f>+G21/H11</f>
        <v>6.399916666666669</v>
      </c>
      <c r="U21" s="1" t="s">
        <v>15</v>
      </c>
      <c r="V21" s="2" t="s">
        <v>34</v>
      </c>
      <c r="W21" s="25">
        <f>+W16+W17</f>
        <v>5235.87</v>
      </c>
      <c r="X21" s="25">
        <f>+X16+X17</f>
        <v>16912.348955</v>
      </c>
      <c r="Y21" s="25">
        <f>+Y16+Y17</f>
        <v>9616.266455</v>
      </c>
      <c r="Z21" s="25">
        <f>+Z16+Z17</f>
        <v>2188.8247499999998</v>
      </c>
      <c r="AA21" s="25">
        <f>+AA16+AA17</f>
        <v>27.7775</v>
      </c>
      <c r="AB21" s="26">
        <f t="shared" si="1"/>
        <v>5079.4802500000005</v>
      </c>
      <c r="AC21" s="52">
        <f>+AB21/AC11</f>
        <v>4.031333531746032</v>
      </c>
      <c r="AD21" s="100"/>
      <c r="AE21" s="1" t="s">
        <v>15</v>
      </c>
      <c r="AF21" s="2" t="s">
        <v>34</v>
      </c>
      <c r="AG21" s="25">
        <f>+AG16+AG17</f>
        <v>5235.87</v>
      </c>
      <c r="AH21" s="25">
        <f>+AH16+AH17</f>
        <v>16912.348955</v>
      </c>
      <c r="AI21" s="25">
        <f>+AI16+AI17</f>
        <v>9616.266455</v>
      </c>
      <c r="AJ21" s="25">
        <f>+AJ16+AJ17</f>
        <v>2918.4330000000004</v>
      </c>
      <c r="AK21" s="25">
        <f>+AK16+AK17</f>
        <v>27.7775</v>
      </c>
      <c r="AL21" s="26">
        <f t="shared" si="2"/>
        <v>4349.871999999999</v>
      </c>
      <c r="AM21" s="52">
        <f>+AL21/AM11</f>
        <v>3.4522793650793644</v>
      </c>
      <c r="AN21" s="99"/>
    </row>
    <row r="22" spans="2:40" ht="13.5" customHeight="1" thickBot="1">
      <c r="B22" s="2" t="s">
        <v>97</v>
      </c>
      <c r="C22" s="5"/>
      <c r="D22" s="106"/>
      <c r="E22" s="25">
        <f>+E21/H11</f>
        <v>14.49459523809524</v>
      </c>
      <c r="F22" s="25">
        <f>+F21/H11</f>
        <v>8.094678571428572</v>
      </c>
      <c r="G22" s="147">
        <f>+G21/H11</f>
        <v>6.399916666666669</v>
      </c>
      <c r="H22" s="31"/>
      <c r="I22" s="148" t="s">
        <v>125</v>
      </c>
      <c r="J22" s="149"/>
      <c r="K22" s="149"/>
      <c r="L22" s="149"/>
      <c r="M22" s="149"/>
      <c r="N22" s="150"/>
      <c r="U22" s="28"/>
      <c r="V22" s="9"/>
      <c r="W22" s="92"/>
      <c r="X22" s="29"/>
      <c r="Y22" s="29"/>
      <c r="Z22" s="29"/>
      <c r="AA22" s="29"/>
      <c r="AB22" s="30"/>
      <c r="AC22" s="31"/>
      <c r="AD22" s="100"/>
      <c r="AE22" s="28"/>
      <c r="AF22" s="9"/>
      <c r="AG22" s="92"/>
      <c r="AH22" s="29"/>
      <c r="AI22" s="29"/>
      <c r="AJ22" s="29"/>
      <c r="AK22" s="29"/>
      <c r="AL22" s="30"/>
      <c r="AM22" s="31"/>
      <c r="AN22" s="99"/>
    </row>
    <row r="23" spans="2:41" ht="12.75">
      <c r="B23" s="43"/>
      <c r="C23" s="43"/>
      <c r="D23" s="43"/>
      <c r="E23" s="43"/>
      <c r="F23" s="54"/>
      <c r="G23" s="43"/>
      <c r="H23" s="43"/>
      <c r="I23" s="104"/>
      <c r="K23" s="43"/>
      <c r="L23" s="43"/>
      <c r="M23" s="43"/>
      <c r="N23" s="43"/>
      <c r="O23" s="43"/>
      <c r="P23" s="54"/>
      <c r="Q23" s="54"/>
      <c r="R23" s="43"/>
      <c r="S23" s="43"/>
      <c r="T23" s="104"/>
      <c r="U23" s="100"/>
      <c r="V23" s="43"/>
      <c r="W23" s="43"/>
      <c r="X23" s="43"/>
      <c r="Y23" s="43"/>
      <c r="Z23" s="54"/>
      <c r="AA23" s="54"/>
      <c r="AB23" s="43"/>
      <c r="AC23" s="43"/>
      <c r="AD23" s="104"/>
      <c r="AE23" s="100"/>
      <c r="AF23" s="43"/>
      <c r="AG23" s="43"/>
      <c r="AH23" s="43"/>
      <c r="AI23" s="43"/>
      <c r="AJ23" s="54"/>
      <c r="AK23" s="54"/>
      <c r="AL23" s="43"/>
      <c r="AM23" s="43"/>
      <c r="AN23" s="104"/>
      <c r="AO23" s="99"/>
    </row>
    <row r="24" spans="2:12" ht="12.75" hidden="1">
      <c r="B24" s="11" t="s">
        <v>100</v>
      </c>
      <c r="D24" s="11"/>
      <c r="E24" s="10"/>
      <c r="F24" s="10"/>
      <c r="G24" s="10"/>
      <c r="H24" s="10"/>
      <c r="I24" s="12"/>
      <c r="J24" s="10"/>
      <c r="K24" s="101"/>
      <c r="L24" s="100"/>
    </row>
    <row r="25" spans="2:12" ht="12.75" hidden="1">
      <c r="B25" s="7"/>
      <c r="C25" s="10"/>
      <c r="D25" s="10"/>
      <c r="E25" s="10"/>
      <c r="F25" s="10"/>
      <c r="G25" s="10"/>
      <c r="H25" s="10"/>
      <c r="I25" s="12"/>
      <c r="J25" s="10"/>
      <c r="K25" s="92"/>
      <c r="L25" s="100"/>
    </row>
    <row r="26" spans="2:12" ht="48.75" hidden="1">
      <c r="B26" s="53">
        <v>1</v>
      </c>
      <c r="C26" s="8"/>
      <c r="D26" s="16" t="s">
        <v>9</v>
      </c>
      <c r="E26" s="16" t="s">
        <v>49</v>
      </c>
      <c r="F26" s="16" t="s">
        <v>50</v>
      </c>
      <c r="G26" s="103" t="s">
        <v>90</v>
      </c>
      <c r="H26" s="17" t="s">
        <v>102</v>
      </c>
      <c r="I26" s="16" t="s">
        <v>31</v>
      </c>
      <c r="L26" s="100"/>
    </row>
    <row r="27" spans="2:12" ht="12.75" hidden="1">
      <c r="B27" s="1"/>
      <c r="C27" s="18">
        <v>1</v>
      </c>
      <c r="D27" s="18">
        <v>2</v>
      </c>
      <c r="E27" s="18">
        <v>3</v>
      </c>
      <c r="F27" s="19">
        <v>4</v>
      </c>
      <c r="G27" s="18" t="s">
        <v>101</v>
      </c>
      <c r="H27" s="18">
        <v>5</v>
      </c>
      <c r="I27" s="18">
        <v>6</v>
      </c>
      <c r="L27" s="100"/>
    </row>
    <row r="28" spans="2:12" ht="12.75" hidden="1">
      <c r="B28" s="1" t="s">
        <v>10</v>
      </c>
      <c r="C28" s="20" t="s">
        <v>24</v>
      </c>
      <c r="D28" s="21">
        <v>2298.069</v>
      </c>
      <c r="E28" s="21">
        <f>+F16</f>
        <v>2135.4</v>
      </c>
      <c r="F28" s="21"/>
      <c r="G28" s="21"/>
      <c r="H28" s="22">
        <f>+D28-E28</f>
        <v>162.66899999999987</v>
      </c>
      <c r="I28" s="17">
        <v>0</v>
      </c>
      <c r="L28" s="100"/>
    </row>
    <row r="29" spans="2:12" ht="48" hidden="1">
      <c r="B29" s="48" t="s">
        <v>12</v>
      </c>
      <c r="C29" s="49" t="s">
        <v>103</v>
      </c>
      <c r="D29" s="50">
        <f>SUM(D30:D32)</f>
        <v>14592.165</v>
      </c>
      <c r="E29" s="50">
        <f>+F17</f>
        <v>8063.895</v>
      </c>
      <c r="F29" s="50">
        <f>+F30+F31+F32</f>
        <v>27.7775</v>
      </c>
      <c r="G29" s="50">
        <f>SUM(G30:G32)</f>
        <v>1459.22</v>
      </c>
      <c r="H29" s="50">
        <f>SUM(H30:H32)</f>
        <v>5041.2725</v>
      </c>
      <c r="I29" s="52">
        <f>+H29/1260</f>
        <v>4.001009920634921</v>
      </c>
      <c r="L29" s="100"/>
    </row>
    <row r="30" spans="2:12" ht="12.75" hidden="1">
      <c r="B30" s="1" t="s">
        <v>11</v>
      </c>
      <c r="C30" s="20" t="s">
        <v>25</v>
      </c>
      <c r="D30" s="21">
        <v>12798.87</v>
      </c>
      <c r="E30" s="21">
        <f>+F18</f>
        <v>6609.75</v>
      </c>
      <c r="F30" s="21">
        <f>333.33/12</f>
        <v>27.7775</v>
      </c>
      <c r="G30" s="21">
        <f>+ROUND(+D30*0.1,2)</f>
        <v>1279.89</v>
      </c>
      <c r="H30" s="22">
        <f>+D30-E30-F30-G30</f>
        <v>4881.4525</v>
      </c>
      <c r="I30" s="17">
        <f>+H30/1260</f>
        <v>3.874168650793651</v>
      </c>
      <c r="L30" s="100"/>
    </row>
    <row r="31" spans="2:12" ht="36" hidden="1">
      <c r="B31" s="1" t="s">
        <v>13</v>
      </c>
      <c r="C31" s="20" t="s">
        <v>33</v>
      </c>
      <c r="D31" s="21">
        <v>1793.295</v>
      </c>
      <c r="E31" s="21">
        <f>+F19</f>
        <v>1454.145</v>
      </c>
      <c r="F31" s="21"/>
      <c r="G31" s="21">
        <f>+ROUND(+D31*0.1,2)</f>
        <v>179.33</v>
      </c>
      <c r="H31" s="22">
        <f>+D31-E31-F31-G31</f>
        <v>159.82000000000008</v>
      </c>
      <c r="I31" s="17">
        <f>+H31/1260</f>
        <v>0.1268412698412699</v>
      </c>
      <c r="L31" s="100"/>
    </row>
    <row r="32" spans="2:12" ht="12.75" hidden="1">
      <c r="B32" s="1" t="s">
        <v>14</v>
      </c>
      <c r="C32" s="8" t="s">
        <v>61</v>
      </c>
      <c r="D32" s="21">
        <v>0</v>
      </c>
      <c r="E32" s="21">
        <v>0</v>
      </c>
      <c r="F32" s="21"/>
      <c r="G32" s="21">
        <v>0</v>
      </c>
      <c r="H32" s="22">
        <v>0</v>
      </c>
      <c r="I32" s="52">
        <v>0</v>
      </c>
      <c r="L32" s="100"/>
    </row>
    <row r="33" spans="2:12" ht="12.75" hidden="1">
      <c r="B33" s="1" t="s">
        <v>15</v>
      </c>
      <c r="C33" s="2" t="s">
        <v>34</v>
      </c>
      <c r="D33" s="25">
        <f>+D28+D29</f>
        <v>16890.234</v>
      </c>
      <c r="E33" s="25">
        <f>+E28+E29</f>
        <v>10199.295</v>
      </c>
      <c r="F33" s="25">
        <f>+F28+F29</f>
        <v>27.7775</v>
      </c>
      <c r="G33" s="25">
        <f>+G28+G29</f>
        <v>1459.22</v>
      </c>
      <c r="H33" s="26">
        <f>+H28+H29</f>
        <v>5203.9415</v>
      </c>
      <c r="I33" s="52">
        <f>+H33/1260</f>
        <v>4.130112301587301</v>
      </c>
      <c r="L33" s="100"/>
    </row>
    <row r="34" spans="2:12" ht="12.75" hidden="1">
      <c r="B34" s="2" t="s">
        <v>97</v>
      </c>
      <c r="C34" s="5"/>
      <c r="D34" s="25">
        <f>+D33/1260</f>
        <v>13.40494761904762</v>
      </c>
      <c r="E34" s="25">
        <f>+E33/1260</f>
        <v>8.094678571428572</v>
      </c>
      <c r="F34" s="25">
        <f>+F33/1260</f>
        <v>0.02204563492063492</v>
      </c>
      <c r="G34" s="25">
        <f>+G33/1260</f>
        <v>1.158111111111111</v>
      </c>
      <c r="H34" s="105">
        <f>+H33/1260</f>
        <v>4.130112301587301</v>
      </c>
      <c r="I34" s="31"/>
      <c r="L34" s="100"/>
    </row>
    <row r="35" ht="12.75" hidden="1"/>
    <row r="36" spans="2:9" ht="48.75" hidden="1">
      <c r="B36" s="53">
        <v>2</v>
      </c>
      <c r="C36" s="8"/>
      <c r="D36" s="16" t="s">
        <v>9</v>
      </c>
      <c r="E36" s="16" t="s">
        <v>49</v>
      </c>
      <c r="F36" s="16" t="s">
        <v>50</v>
      </c>
      <c r="G36" s="103" t="s">
        <v>92</v>
      </c>
      <c r="H36" s="17" t="s">
        <v>102</v>
      </c>
      <c r="I36" s="16" t="s">
        <v>31</v>
      </c>
    </row>
    <row r="37" spans="2:9" ht="12.75" hidden="1">
      <c r="B37" s="1"/>
      <c r="C37" s="18">
        <v>1</v>
      </c>
      <c r="D37" s="18">
        <v>2</v>
      </c>
      <c r="E37" s="18">
        <v>2</v>
      </c>
      <c r="F37" s="19">
        <v>3</v>
      </c>
      <c r="G37" s="18" t="s">
        <v>101</v>
      </c>
      <c r="H37" s="18">
        <v>5</v>
      </c>
      <c r="I37" s="18">
        <v>6</v>
      </c>
    </row>
    <row r="38" spans="2:9" ht="12.75" hidden="1">
      <c r="B38" s="1" t="s">
        <v>10</v>
      </c>
      <c r="C38" s="20" t="s">
        <v>24</v>
      </c>
      <c r="D38" s="21">
        <v>2298.069</v>
      </c>
      <c r="E38" s="21">
        <f>+D38</f>
        <v>2298.069</v>
      </c>
      <c r="F38" s="21"/>
      <c r="G38" s="21"/>
      <c r="H38" s="22">
        <f>+D38-E38</f>
        <v>0</v>
      </c>
      <c r="I38" s="17">
        <v>0</v>
      </c>
    </row>
    <row r="39" spans="2:9" ht="48" hidden="1">
      <c r="B39" s="48" t="s">
        <v>12</v>
      </c>
      <c r="C39" s="49" t="s">
        <v>103</v>
      </c>
      <c r="D39" s="50">
        <f>SUM(D40:D42)</f>
        <v>14592.165</v>
      </c>
      <c r="E39" s="50">
        <f>SUM(E40:E42)</f>
        <v>7296.0825</v>
      </c>
      <c r="F39" s="50">
        <f>SUM(F40:F42)</f>
        <v>27.7775</v>
      </c>
      <c r="G39" s="50">
        <f>SUM(G40:G42)</f>
        <v>2188.8199999999997</v>
      </c>
      <c r="H39" s="50">
        <f>SUM(H40:H42)</f>
        <v>5079.485000000001</v>
      </c>
      <c r="I39" s="52">
        <f>+H39/1260</f>
        <v>4.031337301587302</v>
      </c>
    </row>
    <row r="40" spans="2:9" ht="12.75" hidden="1">
      <c r="B40" s="1" t="s">
        <v>11</v>
      </c>
      <c r="C40" s="20" t="s">
        <v>25</v>
      </c>
      <c r="D40" s="21">
        <v>12798.87</v>
      </c>
      <c r="E40" s="21">
        <f>+D40*0.5</f>
        <v>6399.435</v>
      </c>
      <c r="F40" s="21">
        <f>333.33/12</f>
        <v>27.7775</v>
      </c>
      <c r="G40" s="21">
        <f>+ROUND(+D40*0.15,2)</f>
        <v>1919.83</v>
      </c>
      <c r="H40" s="22">
        <f>+D40-E40-F40-G40</f>
        <v>4451.8275</v>
      </c>
      <c r="I40" s="17">
        <f>+H40/1260</f>
        <v>3.533196428571429</v>
      </c>
    </row>
    <row r="41" spans="2:9" ht="36" hidden="1">
      <c r="B41" s="1" t="s">
        <v>13</v>
      </c>
      <c r="C41" s="20" t="s">
        <v>33</v>
      </c>
      <c r="D41" s="21">
        <v>1793.295</v>
      </c>
      <c r="E41" s="21">
        <f>+D41*0.5</f>
        <v>896.6475</v>
      </c>
      <c r="F41" s="21"/>
      <c r="G41" s="21">
        <f>+ROUND(+D41*0.15,2)</f>
        <v>268.99</v>
      </c>
      <c r="H41" s="22">
        <f>+D41-E41-F41-G41</f>
        <v>627.6575</v>
      </c>
      <c r="I41" s="17">
        <f>+H41/1260</f>
        <v>0.49814087301587306</v>
      </c>
    </row>
    <row r="42" spans="2:9" ht="12.75" hidden="1">
      <c r="B42" s="1" t="s">
        <v>14</v>
      </c>
      <c r="C42" s="8" t="s">
        <v>61</v>
      </c>
      <c r="D42" s="21">
        <v>0</v>
      </c>
      <c r="E42" s="21">
        <v>0</v>
      </c>
      <c r="F42" s="21"/>
      <c r="G42" s="21">
        <v>0</v>
      </c>
      <c r="H42" s="22">
        <v>0</v>
      </c>
      <c r="I42" s="52">
        <v>0</v>
      </c>
    </row>
    <row r="43" spans="2:9" ht="12.75" hidden="1">
      <c r="B43" s="1" t="s">
        <v>15</v>
      </c>
      <c r="C43" s="2" t="s">
        <v>34</v>
      </c>
      <c r="D43" s="25">
        <f>+D38+D39</f>
        <v>16890.234</v>
      </c>
      <c r="E43" s="25">
        <f>+E38+E39</f>
        <v>9594.1515</v>
      </c>
      <c r="F43" s="25">
        <f>+F38+F39</f>
        <v>27.7775</v>
      </c>
      <c r="G43" s="25">
        <f>+G38+G39</f>
        <v>2188.8199999999997</v>
      </c>
      <c r="H43" s="26">
        <f>+H38+H39</f>
        <v>5079.485000000001</v>
      </c>
      <c r="I43" s="52">
        <f>+H43/1260</f>
        <v>4.031337301587302</v>
      </c>
    </row>
    <row r="44" spans="2:9" ht="12.75" hidden="1">
      <c r="B44" s="2" t="s">
        <v>97</v>
      </c>
      <c r="C44" s="5"/>
      <c r="D44" s="25">
        <f>+D43/1260</f>
        <v>13.40494761904762</v>
      </c>
      <c r="E44" s="25">
        <f>+E43/1260</f>
        <v>7.614405952380952</v>
      </c>
      <c r="F44" s="25">
        <f>+F43/1260</f>
        <v>0.02204563492063492</v>
      </c>
      <c r="G44" s="25">
        <f>+G43/1260</f>
        <v>1.73715873015873</v>
      </c>
      <c r="H44" s="105">
        <f>+H43/1260</f>
        <v>4.031337301587302</v>
      </c>
      <c r="I44" s="31"/>
    </row>
    <row r="46" spans="2:8" ht="48.75">
      <c r="B46" s="53">
        <v>3</v>
      </c>
      <c r="C46" s="8"/>
      <c r="D46" s="16" t="s">
        <v>9</v>
      </c>
      <c r="E46" s="16" t="s">
        <v>49</v>
      </c>
      <c r="F46" s="130" t="s">
        <v>94</v>
      </c>
      <c r="G46" s="17" t="s">
        <v>102</v>
      </c>
      <c r="H46" s="16" t="s">
        <v>31</v>
      </c>
    </row>
    <row r="47" spans="2:8" ht="12.75">
      <c r="B47" s="1"/>
      <c r="C47" s="18">
        <v>1</v>
      </c>
      <c r="D47" s="18">
        <v>2</v>
      </c>
      <c r="E47" s="18">
        <v>2</v>
      </c>
      <c r="F47" s="18" t="s">
        <v>101</v>
      </c>
      <c r="G47" s="18">
        <v>5</v>
      </c>
      <c r="H47" s="18">
        <v>6</v>
      </c>
    </row>
    <row r="48" spans="2:8" ht="12.75">
      <c r="B48" s="1" t="s">
        <v>10</v>
      </c>
      <c r="C48" s="20" t="s">
        <v>24</v>
      </c>
      <c r="D48" s="21">
        <f>+E16</f>
        <v>2135.4</v>
      </c>
      <c r="E48" s="21">
        <f>+D48</f>
        <v>2135.4</v>
      </c>
      <c r="F48" s="21"/>
      <c r="G48" s="22">
        <f>+D48-E48</f>
        <v>0</v>
      </c>
      <c r="H48" s="17">
        <v>0</v>
      </c>
    </row>
    <row r="49" spans="2:12" ht="48">
      <c r="B49" s="48" t="s">
        <v>12</v>
      </c>
      <c r="C49" s="49" t="s">
        <v>103</v>
      </c>
      <c r="D49" s="50">
        <f>SUM(D50:D52)</f>
        <v>16127.79</v>
      </c>
      <c r="E49" s="50">
        <f>SUM(E50:E52)</f>
        <v>8063.895</v>
      </c>
      <c r="F49" s="50">
        <f>SUM(F50:F52)</f>
        <v>3225.558</v>
      </c>
      <c r="G49" s="50">
        <f>SUM(G50:G52)</f>
        <v>4838.3369999999995</v>
      </c>
      <c r="H49" s="52">
        <f>+G49/1260</f>
        <v>3.8399499999999995</v>
      </c>
      <c r="L49" s="124"/>
    </row>
    <row r="50" spans="2:8" ht="12.75">
      <c r="B50" s="1" t="s">
        <v>11</v>
      </c>
      <c r="C50" s="20" t="s">
        <v>25</v>
      </c>
      <c r="D50" s="140">
        <f>+E18</f>
        <v>13219.5</v>
      </c>
      <c r="E50" s="21">
        <f>+D50*0.5</f>
        <v>6609.75</v>
      </c>
      <c r="F50" s="21">
        <f>D50*0.2</f>
        <v>2643.9</v>
      </c>
      <c r="G50" s="22">
        <f>+D50-E50-F50</f>
        <v>3965.85</v>
      </c>
      <c r="H50" s="17">
        <f>+G50/1260</f>
        <v>3.1475</v>
      </c>
    </row>
    <row r="51" spans="2:9" ht="36">
      <c r="B51" s="1" t="s">
        <v>13</v>
      </c>
      <c r="C51" s="20" t="s">
        <v>33</v>
      </c>
      <c r="D51" s="21">
        <f>+E19</f>
        <v>2908.29</v>
      </c>
      <c r="E51" s="21">
        <f>+D51*0.5</f>
        <v>1454.145</v>
      </c>
      <c r="F51" s="21">
        <f>D51*0.2</f>
        <v>581.658</v>
      </c>
      <c r="G51" s="22">
        <f>+D51-E51-F51</f>
        <v>872.487</v>
      </c>
      <c r="H51" s="17">
        <f>+G51/1260</f>
        <v>0.69245</v>
      </c>
      <c r="I51" s="125"/>
    </row>
    <row r="52" spans="2:8" ht="12.75">
      <c r="B52" s="1" t="s">
        <v>14</v>
      </c>
      <c r="C52" s="8" t="s">
        <v>61</v>
      </c>
      <c r="D52" s="21">
        <v>0</v>
      </c>
      <c r="E52" s="21">
        <v>0</v>
      </c>
      <c r="F52" s="21">
        <v>0</v>
      </c>
      <c r="G52" s="22">
        <v>0</v>
      </c>
      <c r="H52" s="52">
        <v>0</v>
      </c>
    </row>
    <row r="53" spans="2:8" ht="12.75">
      <c r="B53" s="1" t="s">
        <v>15</v>
      </c>
      <c r="C53" s="2" t="s">
        <v>34</v>
      </c>
      <c r="D53" s="25">
        <f>+D48+D49</f>
        <v>18263.190000000002</v>
      </c>
      <c r="E53" s="25">
        <f>+E48+E49</f>
        <v>10199.295</v>
      </c>
      <c r="F53" s="25">
        <f>+F48+F49</f>
        <v>3225.558</v>
      </c>
      <c r="G53" s="26">
        <f>+G48+G49</f>
        <v>4838.3369999999995</v>
      </c>
      <c r="H53" s="52">
        <f>+G53/1260</f>
        <v>3.8399499999999995</v>
      </c>
    </row>
    <row r="54" spans="2:8" ht="12.75">
      <c r="B54" s="2" t="s">
        <v>97</v>
      </c>
      <c r="C54" s="5"/>
      <c r="D54" s="25">
        <f>+D53/H11</f>
        <v>14.49459523809524</v>
      </c>
      <c r="E54" s="25">
        <f>+E53/H11</f>
        <v>8.094678571428572</v>
      </c>
      <c r="F54" s="25">
        <f>+F53/H11</f>
        <v>2.5599666666666665</v>
      </c>
      <c r="G54" s="141">
        <f>+G53/H11</f>
        <v>3.8399499999999995</v>
      </c>
      <c r="H54" s="31"/>
    </row>
    <row r="56" ht="15">
      <c r="C56" s="108"/>
    </row>
    <row r="57" spans="2:8" ht="48.75">
      <c r="B57" s="53">
        <v>3</v>
      </c>
      <c r="C57" s="8"/>
      <c r="D57" s="16" t="s">
        <v>9</v>
      </c>
      <c r="E57" s="16" t="s">
        <v>49</v>
      </c>
      <c r="F57" s="143" t="s">
        <v>90</v>
      </c>
      <c r="G57" s="17" t="s">
        <v>102</v>
      </c>
      <c r="H57" s="16" t="s">
        <v>31</v>
      </c>
    </row>
    <row r="58" spans="2:8" ht="12.75">
      <c r="B58" s="1"/>
      <c r="C58" s="18">
        <v>1</v>
      </c>
      <c r="D58" s="18">
        <v>2</v>
      </c>
      <c r="E58" s="18">
        <v>2</v>
      </c>
      <c r="F58" s="18" t="s">
        <v>101</v>
      </c>
      <c r="G58" s="18">
        <v>5</v>
      </c>
      <c r="H58" s="18">
        <v>6</v>
      </c>
    </row>
    <row r="59" spans="2:8" ht="12.75">
      <c r="B59" s="1" t="s">
        <v>10</v>
      </c>
      <c r="C59" s="20" t="s">
        <v>24</v>
      </c>
      <c r="D59" s="21">
        <v>2135.4</v>
      </c>
      <c r="E59" s="21">
        <f>+D59</f>
        <v>2135.4</v>
      </c>
      <c r="F59" s="21"/>
      <c r="G59" s="22">
        <f>+D59-E59</f>
        <v>0</v>
      </c>
      <c r="H59" s="17">
        <v>0</v>
      </c>
    </row>
    <row r="60" spans="2:8" ht="48">
      <c r="B60" s="48" t="s">
        <v>12</v>
      </c>
      <c r="C60" s="49" t="s">
        <v>103</v>
      </c>
      <c r="D60" s="50">
        <f>SUM(D61:D63)</f>
        <v>16127.79</v>
      </c>
      <c r="E60" s="50">
        <f>SUM(E61:E63)</f>
        <v>8063.895</v>
      </c>
      <c r="F60" s="50">
        <f>SUM(F61:F63)</f>
        <v>1612.779</v>
      </c>
      <c r="G60" s="50">
        <f>SUM(G61:G63)</f>
        <v>6451.116</v>
      </c>
      <c r="H60" s="52">
        <f>+G60/1260</f>
        <v>5.119933333333333</v>
      </c>
    </row>
    <row r="61" spans="2:8" ht="12.75">
      <c r="B61" s="1" t="s">
        <v>11</v>
      </c>
      <c r="C61" s="20" t="s">
        <v>25</v>
      </c>
      <c r="D61" s="140">
        <v>13219.5</v>
      </c>
      <c r="E61" s="21">
        <f>+D61*0.5</f>
        <v>6609.75</v>
      </c>
      <c r="F61" s="21">
        <f>D61*0.1</f>
        <v>1321.95</v>
      </c>
      <c r="G61" s="22">
        <f>+D61-E61-F61</f>
        <v>5287.8</v>
      </c>
      <c r="H61" s="17">
        <f>+G61/1260</f>
        <v>4.196666666666667</v>
      </c>
    </row>
    <row r="62" spans="2:8" ht="36">
      <c r="B62" s="1" t="s">
        <v>13</v>
      </c>
      <c r="C62" s="20" t="s">
        <v>33</v>
      </c>
      <c r="D62" s="21">
        <v>2908.29</v>
      </c>
      <c r="E62" s="21">
        <f>+D62*0.5</f>
        <v>1454.145</v>
      </c>
      <c r="F62" s="21">
        <f>D62*0.1</f>
        <v>290.829</v>
      </c>
      <c r="G62" s="22">
        <f>+D62-E62-F62</f>
        <v>1163.316</v>
      </c>
      <c r="H62" s="17">
        <f>+G62/1260</f>
        <v>0.9232666666666667</v>
      </c>
    </row>
    <row r="63" spans="2:8" ht="12.75">
      <c r="B63" s="1" t="s">
        <v>14</v>
      </c>
      <c r="C63" s="8" t="s">
        <v>61</v>
      </c>
      <c r="D63" s="21">
        <v>0</v>
      </c>
      <c r="E63" s="21">
        <v>0</v>
      </c>
      <c r="F63" s="21">
        <v>0</v>
      </c>
      <c r="G63" s="22">
        <v>0</v>
      </c>
      <c r="H63" s="52">
        <v>0</v>
      </c>
    </row>
    <row r="64" spans="2:8" ht="12.75">
      <c r="B64" s="1" t="s">
        <v>15</v>
      </c>
      <c r="C64" s="2" t="s">
        <v>34</v>
      </c>
      <c r="D64" s="25">
        <f>+D59+D60</f>
        <v>18263.190000000002</v>
      </c>
      <c r="E64" s="25">
        <f>+E59+E60</f>
        <v>10199.295</v>
      </c>
      <c r="F64" s="25">
        <f>+F59+F60</f>
        <v>1612.779</v>
      </c>
      <c r="G64" s="26">
        <f>+G59+G60</f>
        <v>6451.116</v>
      </c>
      <c r="H64" s="52">
        <f>+G64/1260</f>
        <v>5.119933333333333</v>
      </c>
    </row>
    <row r="65" spans="2:8" ht="12.75">
      <c r="B65" s="2" t="s">
        <v>97</v>
      </c>
      <c r="C65" s="5"/>
      <c r="D65" s="25">
        <f>+D64/H11</f>
        <v>14.49459523809524</v>
      </c>
      <c r="E65" s="25">
        <f>+E64/H11</f>
        <v>8.094678571428572</v>
      </c>
      <c r="F65" s="25">
        <f>+F64/H11</f>
        <v>1.2799833333333333</v>
      </c>
      <c r="G65" s="144">
        <f>+G64/H11</f>
        <v>5.119933333333333</v>
      </c>
      <c r="H65" s="31"/>
    </row>
    <row r="68" spans="2:8" ht="48.75">
      <c r="B68" s="53">
        <v>3</v>
      </c>
      <c r="C68" s="8"/>
      <c r="D68" s="16" t="s">
        <v>9</v>
      </c>
      <c r="E68" s="16" t="s">
        <v>49</v>
      </c>
      <c r="F68" s="145" t="s">
        <v>124</v>
      </c>
      <c r="G68" s="17" t="s">
        <v>102</v>
      </c>
      <c r="H68" s="16" t="s">
        <v>31</v>
      </c>
    </row>
    <row r="69" spans="2:8" ht="12.75">
      <c r="B69" s="1"/>
      <c r="C69" s="18">
        <v>1</v>
      </c>
      <c r="D69" s="18">
        <v>2</v>
      </c>
      <c r="E69" s="18">
        <v>2</v>
      </c>
      <c r="F69" s="18" t="s">
        <v>101</v>
      </c>
      <c r="G69" s="18">
        <v>5</v>
      </c>
      <c r="H69" s="18">
        <v>6</v>
      </c>
    </row>
    <row r="70" spans="2:8" ht="12.75">
      <c r="B70" s="1" t="s">
        <v>10</v>
      </c>
      <c r="C70" s="20" t="s">
        <v>24</v>
      </c>
      <c r="D70" s="21">
        <v>2135.4</v>
      </c>
      <c r="E70" s="21">
        <f>+D70</f>
        <v>2135.4</v>
      </c>
      <c r="F70" s="21"/>
      <c r="G70" s="22">
        <f>+D70-E70</f>
        <v>0</v>
      </c>
      <c r="H70" s="17">
        <v>0</v>
      </c>
    </row>
    <row r="71" spans="2:8" ht="48">
      <c r="B71" s="48" t="s">
        <v>12</v>
      </c>
      <c r="C71" s="49" t="s">
        <v>103</v>
      </c>
      <c r="D71" s="50">
        <f>SUM(D72:D74)</f>
        <v>16127.79</v>
      </c>
      <c r="E71" s="50">
        <f>SUM(E72:E74)</f>
        <v>8063.895</v>
      </c>
      <c r="F71" s="50">
        <f>SUM(F72:F74)</f>
        <v>2419.1684999999998</v>
      </c>
      <c r="G71" s="50">
        <f>SUM(G72:G74)</f>
        <v>5644.7265</v>
      </c>
      <c r="H71" s="52">
        <f>+G71/1260</f>
        <v>4.479941666666666</v>
      </c>
    </row>
    <row r="72" spans="2:8" ht="12.75">
      <c r="B72" s="1" t="s">
        <v>11</v>
      </c>
      <c r="C72" s="20" t="s">
        <v>25</v>
      </c>
      <c r="D72" s="140">
        <v>13219.5</v>
      </c>
      <c r="E72" s="21">
        <f>+D72*0.5</f>
        <v>6609.75</v>
      </c>
      <c r="F72" s="21">
        <f>D72*0.15</f>
        <v>1982.925</v>
      </c>
      <c r="G72" s="22">
        <f>+D72-E72-F72</f>
        <v>4626.825</v>
      </c>
      <c r="H72" s="17">
        <f>+G72/1260</f>
        <v>3.672083333333333</v>
      </c>
    </row>
    <row r="73" spans="2:8" ht="36">
      <c r="B73" s="1" t="s">
        <v>13</v>
      </c>
      <c r="C73" s="20" t="s">
        <v>33</v>
      </c>
      <c r="D73" s="21">
        <v>2908.29</v>
      </c>
      <c r="E73" s="21">
        <f>+D73*0.5</f>
        <v>1454.145</v>
      </c>
      <c r="F73" s="21">
        <f>D73*0.15</f>
        <v>436.2435</v>
      </c>
      <c r="G73" s="22">
        <f>+D73-E73-F73</f>
        <v>1017.9014999999999</v>
      </c>
      <c r="H73" s="17">
        <f>+G73/1260</f>
        <v>0.8078583333333332</v>
      </c>
    </row>
    <row r="74" spans="2:8" ht="12.75">
      <c r="B74" s="1" t="s">
        <v>14</v>
      </c>
      <c r="C74" s="8" t="s">
        <v>61</v>
      </c>
      <c r="D74" s="21">
        <v>0</v>
      </c>
      <c r="E74" s="21">
        <v>0</v>
      </c>
      <c r="F74" s="21">
        <v>0</v>
      </c>
      <c r="G74" s="22">
        <v>0</v>
      </c>
      <c r="H74" s="52">
        <v>0</v>
      </c>
    </row>
    <row r="75" spans="2:8" ht="12.75">
      <c r="B75" s="1" t="s">
        <v>15</v>
      </c>
      <c r="C75" s="2" t="s">
        <v>34</v>
      </c>
      <c r="D75" s="25">
        <f>+D70+D71</f>
        <v>18263.190000000002</v>
      </c>
      <c r="E75" s="25">
        <f>+E70+E71</f>
        <v>10199.295</v>
      </c>
      <c r="F75" s="25">
        <f>+F70+F71</f>
        <v>2419.1684999999998</v>
      </c>
      <c r="G75" s="26">
        <f>+G70+G71</f>
        <v>5644.7265</v>
      </c>
      <c r="H75" s="52">
        <f>+G75/1260</f>
        <v>4.479941666666666</v>
      </c>
    </row>
    <row r="76" spans="2:8" ht="12.75">
      <c r="B76" s="2" t="s">
        <v>97</v>
      </c>
      <c r="C76" s="5"/>
      <c r="D76" s="25">
        <f>+D75/H11</f>
        <v>14.49459523809524</v>
      </c>
      <c r="E76" s="25">
        <f>+E75/H11</f>
        <v>8.094678571428572</v>
      </c>
      <c r="F76" s="25">
        <f>+F75/H11</f>
        <v>1.9199749999999998</v>
      </c>
      <c r="G76" s="146">
        <f>+G75/H11</f>
        <v>4.479941666666666</v>
      </c>
      <c r="H76" s="31"/>
    </row>
  </sheetData>
  <sheetProtection/>
  <printOptions/>
  <pageMargins left="0.79" right="0.15748031496062992" top="0.61" bottom="0.1181102362204724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142" zoomScaleNormal="142" zoomScalePageLayoutView="0" workbookViewId="0" topLeftCell="A4">
      <selection activeCell="E10" sqref="E10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3.28125" style="0" customWidth="1"/>
    <col min="4" max="4" width="14.57421875" style="0" customWidth="1"/>
    <col min="5" max="5" width="16.7109375" style="0" customWidth="1"/>
  </cols>
  <sheetData>
    <row r="1" spans="1:5" ht="12.75">
      <c r="A1" s="7"/>
      <c r="B1" s="11"/>
      <c r="C1" s="96"/>
      <c r="D1" s="97"/>
      <c r="E1" s="10"/>
    </row>
    <row r="2" spans="1:5" ht="12.75">
      <c r="A2" s="7"/>
      <c r="C2" s="10"/>
      <c r="D2" s="81"/>
      <c r="E2" s="12"/>
    </row>
    <row r="3" spans="1:9" ht="24">
      <c r="A3" s="1"/>
      <c r="B3" s="4"/>
      <c r="C3" s="16" t="s">
        <v>89</v>
      </c>
      <c r="D3" s="16" t="s">
        <v>86</v>
      </c>
      <c r="E3" s="126" t="s">
        <v>105</v>
      </c>
      <c r="F3" s="35"/>
      <c r="H3" s="35"/>
      <c r="I3" s="35"/>
    </row>
    <row r="4" spans="1:6" ht="12.75">
      <c r="A4" s="1"/>
      <c r="B4" s="13"/>
      <c r="C4" s="102"/>
      <c r="D4" s="79"/>
      <c r="F4" s="10"/>
    </row>
    <row r="5" spans="1:6" ht="12.75">
      <c r="A5" s="1"/>
      <c r="B5" s="20" t="s">
        <v>104</v>
      </c>
      <c r="C5" s="21">
        <v>8.09</v>
      </c>
      <c r="D5" s="21">
        <v>1260</v>
      </c>
      <c r="E5" s="41">
        <f>+C5*D5</f>
        <v>10193.4</v>
      </c>
      <c r="F5" s="6"/>
    </row>
    <row r="6" spans="1:5" ht="12.75">
      <c r="A6" s="1"/>
      <c r="B6" s="20" t="s">
        <v>116</v>
      </c>
      <c r="C6" s="21">
        <v>2.56</v>
      </c>
      <c r="D6" s="21">
        <v>1260</v>
      </c>
      <c r="E6" s="41">
        <f>+C6*D6</f>
        <v>3225.6</v>
      </c>
    </row>
    <row r="7" spans="1:5" ht="12.75">
      <c r="A7" s="95"/>
      <c r="B7" s="33" t="s">
        <v>115</v>
      </c>
      <c r="C7" s="128">
        <v>3.84</v>
      </c>
      <c r="D7" s="21">
        <v>1260</v>
      </c>
      <c r="E7" s="41">
        <f>+C7*D7</f>
        <v>4838.4</v>
      </c>
    </row>
    <row r="8" spans="1:5" ht="12.75">
      <c r="A8" s="1"/>
      <c r="B8" s="2" t="s">
        <v>57</v>
      </c>
      <c r="C8" s="127">
        <f>SUM(C5:C7)</f>
        <v>14.49</v>
      </c>
      <c r="D8" s="27"/>
      <c r="E8" s="42">
        <f>SUM(E5:E7)</f>
        <v>18257.4</v>
      </c>
    </row>
    <row r="9" spans="1:5" ht="12.75">
      <c r="A9" s="7"/>
      <c r="B9" s="10"/>
      <c r="C9" s="10"/>
      <c r="D9" s="44"/>
      <c r="E9" s="45"/>
    </row>
    <row r="10" spans="4:5" ht="12.75">
      <c r="D10" t="s">
        <v>123</v>
      </c>
      <c r="E10" s="142">
        <f>+E8*12</f>
        <v>219088.80000000002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A1" sqref="A1:E12"/>
    </sheetView>
  </sheetViews>
  <sheetFormatPr defaultColWidth="9.140625" defaultRowHeight="12.75"/>
  <cols>
    <col min="1" max="1" width="5.57421875" style="0" customWidth="1"/>
    <col min="2" max="2" width="24.7109375" style="0" customWidth="1"/>
    <col min="3" max="4" width="12.57421875" style="0" customWidth="1"/>
    <col min="5" max="5" width="15.57421875" style="0" customWidth="1"/>
    <col min="6" max="6" width="17.8515625" style="0" customWidth="1"/>
    <col min="8" max="8" width="18.140625" style="0" customWidth="1"/>
    <col min="9" max="9" width="10.421875" style="0" customWidth="1"/>
    <col min="10" max="10" width="11.57421875" style="0" customWidth="1"/>
    <col min="11" max="11" width="11.00390625" style="0" bestFit="1" customWidth="1"/>
    <col min="12" max="12" width="12.421875" style="0" customWidth="1"/>
  </cols>
  <sheetData>
    <row r="1" spans="1:5" ht="12.75">
      <c r="A1" s="7"/>
      <c r="B1" s="10"/>
      <c r="C1" s="10"/>
      <c r="D1" s="10"/>
      <c r="E1" s="12"/>
    </row>
    <row r="2" spans="1:5" ht="12.75">
      <c r="A2" s="7"/>
      <c r="B2" s="10"/>
      <c r="C2" s="10"/>
      <c r="D2" s="10" t="s">
        <v>63</v>
      </c>
      <c r="E2" s="12" t="s">
        <v>88</v>
      </c>
    </row>
    <row r="3" spans="1:6" ht="24">
      <c r="A3" s="1"/>
      <c r="B3" s="8">
        <v>2013</v>
      </c>
      <c r="C3" s="16" t="s">
        <v>106</v>
      </c>
      <c r="D3" s="16" t="s">
        <v>107</v>
      </c>
      <c r="E3" s="4"/>
      <c r="F3" s="40"/>
    </row>
    <row r="4" spans="1:6" ht="12.75">
      <c r="A4" s="1"/>
      <c r="B4" s="20" t="s">
        <v>58</v>
      </c>
      <c r="C4" s="21">
        <v>1.69</v>
      </c>
      <c r="D4" s="21">
        <f aca="true" t="shared" si="0" ref="D4:D9">+C4*1260</f>
        <v>2129.4</v>
      </c>
      <c r="E4" s="110">
        <f aca="true" t="shared" si="1" ref="E4:E10">+D4*12</f>
        <v>25552.800000000003</v>
      </c>
      <c r="F4" s="26"/>
    </row>
    <row r="5" spans="1:6" ht="12.75">
      <c r="A5" s="1"/>
      <c r="B5" s="37" t="s">
        <v>109</v>
      </c>
      <c r="C5" s="21">
        <v>6.4</v>
      </c>
      <c r="D5" s="21">
        <f t="shared" si="0"/>
        <v>8064</v>
      </c>
      <c r="E5" s="110">
        <f t="shared" si="1"/>
        <v>96768</v>
      </c>
      <c r="F5" s="26"/>
    </row>
    <row r="6" spans="1:6" ht="12.75">
      <c r="A6" s="1"/>
      <c r="B6" s="109" t="s">
        <v>119</v>
      </c>
      <c r="C6" s="3">
        <f>SUM(C4:C5)</f>
        <v>8.09</v>
      </c>
      <c r="D6" s="3">
        <f t="shared" si="0"/>
        <v>10193.4</v>
      </c>
      <c r="E6" s="111">
        <f>+D6*12</f>
        <v>122320.79999999999</v>
      </c>
      <c r="F6" s="26"/>
    </row>
    <row r="7" spans="1:6" ht="12.75">
      <c r="A7" s="1"/>
      <c r="B7" s="134" t="s">
        <v>113</v>
      </c>
      <c r="C7" s="135">
        <v>2.56</v>
      </c>
      <c r="D7" s="135">
        <f t="shared" si="0"/>
        <v>3225.6</v>
      </c>
      <c r="E7" s="136">
        <f t="shared" si="1"/>
        <v>38707.2</v>
      </c>
      <c r="F7" s="26"/>
    </row>
    <row r="8" spans="1:6" ht="12.75">
      <c r="A8" s="1"/>
      <c r="B8" s="109" t="s">
        <v>108</v>
      </c>
      <c r="C8" s="3">
        <f>+C4+C5+C7</f>
        <v>10.65</v>
      </c>
      <c r="D8" s="3">
        <f t="shared" si="0"/>
        <v>13419</v>
      </c>
      <c r="E8" s="111">
        <f t="shared" si="1"/>
        <v>161028</v>
      </c>
      <c r="F8" s="26"/>
    </row>
    <row r="9" spans="1:6" ht="12.75">
      <c r="A9" s="1"/>
      <c r="B9" s="39" t="s">
        <v>59</v>
      </c>
      <c r="C9" s="21">
        <v>3.84</v>
      </c>
      <c r="D9" s="21">
        <f t="shared" si="0"/>
        <v>4838.4</v>
      </c>
      <c r="E9" s="110">
        <f t="shared" si="1"/>
        <v>58060.799999999996</v>
      </c>
      <c r="F9" s="26"/>
    </row>
    <row r="10" spans="1:6" ht="12.75">
      <c r="A10" s="1"/>
      <c r="B10" s="38" t="s">
        <v>57</v>
      </c>
      <c r="C10" s="42">
        <f>SUM(C8:C9)</f>
        <v>14.49</v>
      </c>
      <c r="D10" s="42">
        <f>SUM(D8:D9)</f>
        <v>18257.4</v>
      </c>
      <c r="E10" s="111">
        <f t="shared" si="1"/>
        <v>219088.80000000002</v>
      </c>
      <c r="F10" s="42"/>
    </row>
    <row r="11" spans="1:5" ht="12.75">
      <c r="A11" s="7"/>
      <c r="B11" s="10"/>
      <c r="C11" s="34"/>
      <c r="D11" s="23"/>
      <c r="E11" s="36"/>
    </row>
    <row r="12" spans="2:6" ht="12.75">
      <c r="B12" s="93"/>
      <c r="C12" s="93"/>
      <c r="D12" s="93"/>
      <c r="E12" s="93"/>
      <c r="F12" s="93"/>
    </row>
    <row r="13" spans="2:6" ht="12.75">
      <c r="B13" s="93"/>
      <c r="C13" s="93"/>
      <c r="D13" s="93"/>
      <c r="E13" s="93"/>
      <c r="F13" s="93"/>
    </row>
    <row r="14" spans="2:6" ht="12.75">
      <c r="B14" s="93"/>
      <c r="C14" s="93"/>
      <c r="D14" s="93"/>
      <c r="E14" s="93"/>
      <c r="F14" s="93"/>
    </row>
    <row r="15" spans="2:6" ht="12.75">
      <c r="B15" s="93"/>
      <c r="C15" s="93"/>
      <c r="D15" s="93"/>
      <c r="E15" s="93"/>
      <c r="F15" s="93"/>
    </row>
    <row r="16" spans="2:6" ht="12.75">
      <c r="B16" s="93"/>
      <c r="C16" s="93"/>
      <c r="D16" s="93"/>
      <c r="E16" s="93"/>
      <c r="F16" s="93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</cp:lastModifiedBy>
  <cp:lastPrinted>2013-02-01T11:38:04Z</cp:lastPrinted>
  <dcterms:created xsi:type="dcterms:W3CDTF">1997-01-31T12:20:41Z</dcterms:created>
  <dcterms:modified xsi:type="dcterms:W3CDTF">2021-04-29T14:55:19Z</dcterms:modified>
  <cp:category/>
  <cp:version/>
  <cp:contentType/>
  <cp:contentStatus/>
</cp:coreProperties>
</file>